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jorgecaicedo/Library/CloudStorage/GoogleDrive-jorge9092@gmail.com/Mi unidad/Documentos personales 2026/06 RUTA DEL EMPRENDIMIENTO 2.0/02 MODULO FINANZAS/"/>
    </mc:Choice>
  </mc:AlternateContent>
  <xr:revisionPtr revIDLastSave="0" documentId="8_{C4D45253-0767-994C-9625-5FA7E070B725}" xr6:coauthVersionLast="47" xr6:coauthVersionMax="47" xr10:uidLastSave="{00000000-0000-0000-0000-000000000000}"/>
  <bookViews>
    <workbookView xWindow="0" yWindow="680" windowWidth="24540" windowHeight="18760" tabRatio="500" activeTab="6" xr2:uid="{00000000-000D-0000-FFFF-FFFF00000000}"/>
  </bookViews>
  <sheets>
    <sheet name="LEE PRIMERO" sheetId="1" r:id="rId1"/>
    <sheet name="1 PRODUCTOS" sheetId="2" r:id="rId2"/>
    <sheet name="2 NOMINA Y GASTOS" sheetId="3" r:id="rId3"/>
    <sheet name="3 ACTIVOS" sheetId="4" r:id="rId4"/>
    <sheet name="4 CREDITO" sheetId="5" r:id="rId5"/>
    <sheet name="5 RESULTADOS" sheetId="6" r:id="rId6"/>
    <sheet name="6 REGISTRO DIARIO" sheetId="7" r:id="rId7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6" i="7" l="1"/>
  <c r="C36" i="7"/>
  <c r="F36" i="7" s="1"/>
  <c r="F5" i="7"/>
  <c r="F6" i="7" s="1"/>
  <c r="F7" i="7" s="1"/>
  <c r="F8" i="7" s="1"/>
  <c r="F9" i="7" s="1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F30" i="7" s="1"/>
  <c r="F31" i="7" s="1"/>
  <c r="F32" i="7" s="1"/>
  <c r="F33" i="7" s="1"/>
  <c r="F34" i="7" s="1"/>
  <c r="F35" i="7" s="1"/>
  <c r="F25" i="6"/>
  <c r="E25" i="6"/>
  <c r="D25" i="6"/>
  <c r="C25" i="6"/>
  <c r="B25" i="6"/>
  <c r="B16" i="6"/>
  <c r="B9" i="6"/>
  <c r="F29" i="6" s="1"/>
  <c r="B4" i="6"/>
  <c r="E73" i="5"/>
  <c r="D73" i="5"/>
  <c r="C73" i="5"/>
  <c r="B73" i="5"/>
  <c r="A73" i="5"/>
  <c r="E72" i="5"/>
  <c r="D72" i="5"/>
  <c r="C72" i="5"/>
  <c r="B72" i="5"/>
  <c r="A72" i="5"/>
  <c r="E71" i="5"/>
  <c r="D71" i="5"/>
  <c r="C71" i="5"/>
  <c r="B71" i="5"/>
  <c r="A71" i="5"/>
  <c r="E70" i="5"/>
  <c r="D70" i="5"/>
  <c r="C70" i="5"/>
  <c r="B70" i="5"/>
  <c r="A70" i="5"/>
  <c r="E69" i="5"/>
  <c r="D69" i="5"/>
  <c r="C69" i="5"/>
  <c r="B69" i="5"/>
  <c r="A69" i="5"/>
  <c r="E68" i="5"/>
  <c r="D68" i="5"/>
  <c r="C68" i="5"/>
  <c r="B68" i="5"/>
  <c r="A68" i="5"/>
  <c r="E67" i="5"/>
  <c r="D67" i="5"/>
  <c r="C67" i="5"/>
  <c r="B67" i="5"/>
  <c r="A67" i="5"/>
  <c r="E66" i="5"/>
  <c r="D66" i="5"/>
  <c r="C66" i="5"/>
  <c r="B66" i="5"/>
  <c r="A66" i="5"/>
  <c r="E65" i="5"/>
  <c r="D65" i="5"/>
  <c r="C65" i="5"/>
  <c r="B65" i="5"/>
  <c r="A65" i="5"/>
  <c r="E64" i="5"/>
  <c r="D64" i="5"/>
  <c r="C64" i="5"/>
  <c r="B64" i="5"/>
  <c r="A64" i="5"/>
  <c r="E63" i="5"/>
  <c r="D63" i="5"/>
  <c r="C63" i="5"/>
  <c r="B63" i="5"/>
  <c r="A63" i="5"/>
  <c r="E62" i="5"/>
  <c r="D62" i="5"/>
  <c r="C62" i="5"/>
  <c r="B62" i="5"/>
  <c r="A62" i="5"/>
  <c r="E61" i="5"/>
  <c r="D61" i="5"/>
  <c r="C61" i="5"/>
  <c r="B61" i="5"/>
  <c r="A61" i="5"/>
  <c r="E60" i="5"/>
  <c r="D60" i="5"/>
  <c r="C60" i="5"/>
  <c r="B60" i="5"/>
  <c r="A60" i="5"/>
  <c r="E59" i="5"/>
  <c r="D59" i="5"/>
  <c r="C59" i="5"/>
  <c r="B59" i="5"/>
  <c r="A59" i="5"/>
  <c r="E58" i="5"/>
  <c r="D58" i="5"/>
  <c r="C58" i="5"/>
  <c r="B58" i="5"/>
  <c r="A58" i="5"/>
  <c r="E57" i="5"/>
  <c r="D57" i="5"/>
  <c r="C57" i="5"/>
  <c r="B57" i="5"/>
  <c r="A57" i="5"/>
  <c r="E56" i="5"/>
  <c r="D56" i="5"/>
  <c r="C56" i="5"/>
  <c r="B56" i="5"/>
  <c r="A56" i="5"/>
  <c r="E55" i="5"/>
  <c r="D55" i="5"/>
  <c r="C55" i="5"/>
  <c r="B55" i="5"/>
  <c r="A55" i="5"/>
  <c r="E54" i="5"/>
  <c r="D54" i="5"/>
  <c r="C54" i="5"/>
  <c r="B54" i="5"/>
  <c r="A54" i="5"/>
  <c r="E53" i="5"/>
  <c r="D53" i="5"/>
  <c r="C53" i="5"/>
  <c r="B53" i="5"/>
  <c r="A53" i="5"/>
  <c r="E52" i="5"/>
  <c r="D52" i="5"/>
  <c r="C52" i="5"/>
  <c r="B52" i="5"/>
  <c r="A52" i="5"/>
  <c r="E51" i="5"/>
  <c r="D51" i="5"/>
  <c r="C51" i="5"/>
  <c r="B51" i="5"/>
  <c r="A51" i="5"/>
  <c r="E50" i="5"/>
  <c r="D50" i="5"/>
  <c r="C50" i="5"/>
  <c r="B50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C14" i="5"/>
  <c r="A14" i="5"/>
  <c r="B8" i="5"/>
  <c r="B7" i="5"/>
  <c r="B48" i="5" s="1"/>
  <c r="D14" i="4"/>
  <c r="D18" i="4" s="1"/>
  <c r="B14" i="6" s="1"/>
  <c r="F12" i="4"/>
  <c r="E12" i="4"/>
  <c r="F11" i="4"/>
  <c r="E11" i="4"/>
  <c r="F10" i="4"/>
  <c r="E10" i="4"/>
  <c r="F9" i="4"/>
  <c r="E9" i="4"/>
  <c r="F8" i="4"/>
  <c r="E8" i="4"/>
  <c r="E7" i="4"/>
  <c r="F7" i="4" s="1"/>
  <c r="E6" i="4"/>
  <c r="F6" i="4" s="1"/>
  <c r="E5" i="4"/>
  <c r="F5" i="4" s="1"/>
  <c r="F14" i="4" s="1"/>
  <c r="B8" i="6" s="1"/>
  <c r="B28" i="3"/>
  <c r="B29" i="3" s="1"/>
  <c r="B7" i="6" s="1"/>
  <c r="E12" i="3"/>
  <c r="E11" i="3"/>
  <c r="E10" i="3"/>
  <c r="E9" i="3"/>
  <c r="E8" i="3"/>
  <c r="E7" i="3"/>
  <c r="E6" i="3"/>
  <c r="E5" i="3"/>
  <c r="E13" i="3" s="1"/>
  <c r="C67" i="2"/>
  <c r="F64" i="2"/>
  <c r="F63" i="2"/>
  <c r="F62" i="2"/>
  <c r="F61" i="2"/>
  <c r="F60" i="2"/>
  <c r="F59" i="2"/>
  <c r="F65" i="2" s="1"/>
  <c r="C66" i="2" s="1"/>
  <c r="C54" i="2"/>
  <c r="F51" i="2"/>
  <c r="F50" i="2"/>
  <c r="F49" i="2"/>
  <c r="F48" i="2"/>
  <c r="F47" i="2"/>
  <c r="F46" i="2"/>
  <c r="F52" i="2" s="1"/>
  <c r="C53" i="2" s="1"/>
  <c r="C41" i="2"/>
  <c r="F39" i="2"/>
  <c r="C40" i="2" s="1"/>
  <c r="F38" i="2"/>
  <c r="F37" i="2"/>
  <c r="F36" i="2"/>
  <c r="F35" i="2"/>
  <c r="F34" i="2"/>
  <c r="F33" i="2"/>
  <c r="C28" i="2"/>
  <c r="F25" i="2"/>
  <c r="F26" i="2" s="1"/>
  <c r="C27" i="2" s="1"/>
  <c r="F24" i="2"/>
  <c r="F23" i="2"/>
  <c r="F22" i="2"/>
  <c r="F21" i="2"/>
  <c r="F20" i="2"/>
  <c r="F12" i="2"/>
  <c r="F11" i="2"/>
  <c r="F13" i="2" s="1"/>
  <c r="F10" i="2"/>
  <c r="F9" i="2"/>
  <c r="F8" i="2"/>
  <c r="F7" i="2"/>
  <c r="D27" i="6" l="1"/>
  <c r="F27" i="6"/>
  <c r="E27" i="6"/>
  <c r="C27" i="6"/>
  <c r="B27" i="6"/>
  <c r="B5" i="6"/>
  <c r="C14" i="2"/>
  <c r="C15" i="2"/>
  <c r="B15" i="6"/>
  <c r="B34" i="6"/>
  <c r="B29" i="6"/>
  <c r="C29" i="6"/>
  <c r="D29" i="6"/>
  <c r="B15" i="5"/>
  <c r="B17" i="5"/>
  <c r="B19" i="5"/>
  <c r="B21" i="5"/>
  <c r="B23" i="5"/>
  <c r="B25" i="5"/>
  <c r="B27" i="5"/>
  <c r="B29" i="5"/>
  <c r="B31" i="5"/>
  <c r="B33" i="5"/>
  <c r="B35" i="5"/>
  <c r="B37" i="5"/>
  <c r="B39" i="5"/>
  <c r="B41" i="5"/>
  <c r="B43" i="5"/>
  <c r="B45" i="5"/>
  <c r="B47" i="5"/>
  <c r="B49" i="5"/>
  <c r="E29" i="6"/>
  <c r="B9" i="5"/>
  <c r="B10" i="5" s="1"/>
  <c r="B14" i="5"/>
  <c r="D14" i="5" s="1"/>
  <c r="E14" i="5" s="1"/>
  <c r="B16" i="5"/>
  <c r="B18" i="5"/>
  <c r="B20" i="5"/>
  <c r="B22" i="5"/>
  <c r="B24" i="5"/>
  <c r="B26" i="5"/>
  <c r="B28" i="5"/>
  <c r="B30" i="5"/>
  <c r="B32" i="5"/>
  <c r="B34" i="5"/>
  <c r="B36" i="5"/>
  <c r="B38" i="5"/>
  <c r="B40" i="5"/>
  <c r="B42" i="5"/>
  <c r="B44" i="5"/>
  <c r="B46" i="5"/>
  <c r="C15" i="5" l="1"/>
  <c r="D15" i="5"/>
  <c r="E15" i="5" s="1"/>
  <c r="F26" i="6"/>
  <c r="F28" i="6" s="1"/>
  <c r="E26" i="6"/>
  <c r="E28" i="6" s="1"/>
  <c r="D26" i="6"/>
  <c r="D28" i="6" s="1"/>
  <c r="C26" i="6"/>
  <c r="C28" i="6" s="1"/>
  <c r="B13" i="6"/>
  <c r="B40" i="6"/>
  <c r="B26" i="6"/>
  <c r="B28" i="6" s="1"/>
  <c r="B12" i="6"/>
  <c r="B39" i="6"/>
  <c r="B6" i="6"/>
  <c r="C16" i="5" l="1"/>
  <c r="D16" i="5" s="1"/>
  <c r="E16" i="5"/>
  <c r="D34" i="6"/>
  <c r="C30" i="6"/>
  <c r="F30" i="6"/>
  <c r="G34" i="6"/>
  <c r="B11" i="6"/>
  <c r="B10" i="6"/>
  <c r="F34" i="6"/>
  <c r="E30" i="6"/>
  <c r="C34" i="6"/>
  <c r="B30" i="6"/>
  <c r="B31" i="6"/>
  <c r="B35" i="6"/>
  <c r="E34" i="6"/>
  <c r="D30" i="6"/>
  <c r="C17" i="5" l="1"/>
  <c r="D17" i="5" s="1"/>
  <c r="E17" i="5" s="1"/>
  <c r="C31" i="6"/>
  <c r="D31" i="6" s="1"/>
  <c r="E31" i="6" s="1"/>
  <c r="F31" i="6" s="1"/>
  <c r="B37" i="6"/>
  <c r="B36" i="6"/>
  <c r="C18" i="5" l="1"/>
  <c r="D18" i="5" s="1"/>
  <c r="E18" i="5"/>
  <c r="C19" i="5" l="1"/>
  <c r="D19" i="5" s="1"/>
  <c r="E19" i="5" s="1"/>
  <c r="C20" i="5" l="1"/>
  <c r="D20" i="5" s="1"/>
  <c r="E20" i="5"/>
  <c r="C21" i="5" l="1"/>
  <c r="D21" i="5" s="1"/>
  <c r="E21" i="5" s="1"/>
  <c r="C22" i="5" l="1"/>
  <c r="D22" i="5" s="1"/>
  <c r="E22" i="5"/>
  <c r="C23" i="5" l="1"/>
  <c r="D23" i="5" s="1"/>
  <c r="E23" i="5" s="1"/>
  <c r="C24" i="5" l="1"/>
  <c r="D24" i="5" s="1"/>
  <c r="E24" i="5"/>
  <c r="C25" i="5" l="1"/>
  <c r="D25" i="5" s="1"/>
  <c r="E25" i="5" s="1"/>
  <c r="C26" i="5" l="1"/>
  <c r="D26" i="5" s="1"/>
  <c r="E26" i="5"/>
  <c r="C27" i="5" l="1"/>
  <c r="D27" i="5" s="1"/>
  <c r="E27" i="5" s="1"/>
  <c r="C28" i="5" l="1"/>
  <c r="D28" i="5" s="1"/>
  <c r="E28" i="5"/>
  <c r="C29" i="5" l="1"/>
  <c r="D29" i="5" s="1"/>
  <c r="E29" i="5" s="1"/>
  <c r="C30" i="5" l="1"/>
  <c r="D30" i="5" s="1"/>
  <c r="E30" i="5"/>
  <c r="C31" i="5" l="1"/>
  <c r="D31" i="5" s="1"/>
  <c r="E31" i="5" s="1"/>
  <c r="C32" i="5" l="1"/>
  <c r="D32" i="5" s="1"/>
  <c r="E32" i="5"/>
  <c r="C33" i="5" l="1"/>
  <c r="D33" i="5" s="1"/>
  <c r="E33" i="5" s="1"/>
  <c r="C34" i="5" l="1"/>
  <c r="D34" i="5" s="1"/>
  <c r="E34" i="5"/>
  <c r="C35" i="5" l="1"/>
  <c r="D35" i="5" s="1"/>
  <c r="E35" i="5" s="1"/>
  <c r="C36" i="5" l="1"/>
  <c r="D36" i="5" s="1"/>
  <c r="E36" i="5"/>
  <c r="C37" i="5" l="1"/>
  <c r="D37" i="5" s="1"/>
  <c r="E37" i="5" s="1"/>
  <c r="C38" i="5" l="1"/>
  <c r="D38" i="5" s="1"/>
  <c r="E38" i="5"/>
  <c r="C39" i="5" l="1"/>
  <c r="D39" i="5" s="1"/>
  <c r="E39" i="5" s="1"/>
  <c r="C40" i="5" l="1"/>
  <c r="D40" i="5" s="1"/>
  <c r="E40" i="5"/>
  <c r="C41" i="5" l="1"/>
  <c r="D41" i="5" s="1"/>
  <c r="E41" i="5" s="1"/>
  <c r="C42" i="5" l="1"/>
  <c r="D42" i="5" s="1"/>
  <c r="E42" i="5"/>
  <c r="C43" i="5" l="1"/>
  <c r="D43" i="5" s="1"/>
  <c r="E43" i="5" s="1"/>
  <c r="C44" i="5" l="1"/>
  <c r="D44" i="5" s="1"/>
  <c r="E44" i="5"/>
  <c r="C45" i="5" l="1"/>
  <c r="D45" i="5" s="1"/>
  <c r="E45" i="5" s="1"/>
  <c r="C46" i="5" l="1"/>
  <c r="D46" i="5" s="1"/>
  <c r="E46" i="5"/>
  <c r="C47" i="5" l="1"/>
  <c r="D47" i="5" s="1"/>
  <c r="E47" i="5" s="1"/>
  <c r="C48" i="5" l="1"/>
  <c r="D48" i="5" s="1"/>
  <c r="E48" i="5"/>
  <c r="C49" i="5" l="1"/>
  <c r="D49" i="5" s="1"/>
  <c r="E49" i="5" s="1"/>
</calcChain>
</file>

<file path=xl/sharedStrings.xml><?xml version="1.0" encoding="utf-8"?>
<sst xmlns="http://schemas.openxmlformats.org/spreadsheetml/2006/main" count="215" uniqueCount="160">
  <si>
    <t>MODELO FINANCIERO — RUTA DEL EMPRENDIMIENTO 2026</t>
  </si>
  <si>
    <t>Cámara de Comercio del Huila · Seccional Sur · Módulo 2: Finanzas básicas</t>
  </si>
  <si>
    <t>Este archivo es la versión SIN INTERNET del Laboratorio Financiero de</t>
  </si>
  <si>
    <t>rutadelemprendimiento.site/finanzas.php — misma lógica, mismos resultados.</t>
  </si>
  <si>
    <t>CÓMO USARLO:</t>
  </si>
  <si>
    <t>1. Llena SOLO las celdas amarillas, en orden: 1 PRODUCTOS - 2 NOMINA Y GASTOS - 3 ACTIVOS - 4 CREDITO.</t>
  </si>
  <si>
    <t>2. La hoja 5 RESULTADOS calcula todo sola: punto de equilibrio, VAN, TIR, proyeccion a 5 anos y recuperacion.</t>
  </si>
  <si>
    <t>3. La hoja 6 REGISTRO DIARIO es tu cuaderno de ingresos y egresos del mes: usala TODOS los dias.</t>
  </si>
  <si>
    <t>LAS HOJAS ESTAN PROTEGIDAS:</t>
  </si>
  <si>
    <t>Solo puedes escribir en las celdas amarillas. Las formulas y resultados estan bloqueados para que</t>
  </si>
  <si>
    <t>no se danen por accidente. No necesitas ninguna clave para usar el archivo.</t>
  </si>
  <si>
    <t>Cifras de referencia al 2 de agosto de 2026: SMMLV $1.750.905 - factor prestacional 53,76% -</t>
  </si>
  <si>
    <t>IPC anual 6,14% - usura consumo 29,66% EA. Verificalas antes de firmar un credito.</t>
  </si>
  <si>
    <t>Herramienta pedagogica: no reemplaza la asesoria de un contador.</t>
  </si>
  <si>
    <t>TUS PRODUCTOS Y SU COSTEO — la receta de UNA unidad</t>
  </si>
  <si>
    <t>Tipos de item: Materia prima · Insumo · Empaque · Mercancia comprada · Servicio por unidad · Mano de obra por unidad · Jornal · Transporte · Otro</t>
  </si>
  <si>
    <t>Margen objetivo para el precio sugerido (%):</t>
  </si>
  <si>
    <t>← Comercial 30 · Agro 35 · Produccion 40 · Servicios 50. El precio sugerido es referencia: tu decides el precio final.</t>
  </si>
  <si>
    <t>PRODUCTO 1 — nombre:</t>
  </si>
  <si>
    <t>Café tostado 500 g</t>
  </si>
  <si>
    <t>Tipo de ítem</t>
  </si>
  <si>
    <t>¿Qué es?</t>
  </si>
  <si>
    <t>Unidad de medida</t>
  </si>
  <si>
    <t>Cantidad por unidad</t>
  </si>
  <si>
    <t>Costo de esa unidad</t>
  </si>
  <si>
    <t>Subtotal</t>
  </si>
  <si>
    <t>Materia prima</t>
  </si>
  <si>
    <t>Café pergamino</t>
  </si>
  <si>
    <t>kg</t>
  </si>
  <si>
    <t>Servicio por unidad</t>
  </si>
  <si>
    <t>Trilla y tueste</t>
  </si>
  <si>
    <t>unidad</t>
  </si>
  <si>
    <t>Empaque</t>
  </si>
  <si>
    <t>Bolsa y etiqueta</t>
  </si>
  <si>
    <t>COSTO VARIABLE por unidad:</t>
  </si>
  <si>
    <t>Precio SUGERIDO (según margen objetivo):</t>
  </si>
  <si>
    <t>Tu PRECIO de venta (acéptalo o cámbialo):</t>
  </si>
  <si>
    <t>Margen que trabajarías con ese precio:</t>
  </si>
  <si>
    <t>Ventas actuales (unds/mes):</t>
  </si>
  <si>
    <t>Capacidad máxima (unds/mes). Por máquina: unds/hora × horas/día × días. Por personas: unds/persona/día × personas × días:</t>
  </si>
  <si>
    <t>PRODUCTO 2 — nombre:</t>
  </si>
  <si>
    <t>PRODUCTO 3 — nombre:</t>
  </si>
  <si>
    <t>PRODUCTO 4 — nombre:</t>
  </si>
  <si>
    <t>PRODUCTO 5 — nombre:</t>
  </si>
  <si>
    <t>TU EQUIPO DE TRABAJO</t>
  </si>
  <si>
    <t>Laboral suma automáticamente el 53,76% de prestaciones y seguridad social. Incluye TU propio sueldo.</t>
  </si>
  <si>
    <t>Cargo</t>
  </si>
  <si>
    <t>Vinculación</t>
  </si>
  <si>
    <t>Valor $ (mes o por jornal)</t>
  </si>
  <si>
    <t>Jornales al mes (solo si aplica)</t>
  </si>
  <si>
    <t>Costo mensual real</t>
  </si>
  <si>
    <t>¿Dónde trabaja?</t>
  </si>
  <si>
    <t>Yo (mi sueldo)</t>
  </si>
  <si>
    <t>Mi propio sueldo</t>
  </si>
  <si>
    <t>Admón. y ventas (gasto)</t>
  </si>
  <si>
    <t>Recolector</t>
  </si>
  <si>
    <t>Jornal</t>
  </si>
  <si>
    <t>Producción (costo)</t>
  </si>
  <si>
    <t>TOTAL NÓMINA MENSUAL:</t>
  </si>
  <si>
    <t>TUS GASTOS FIJOS DEL MES</t>
  </si>
  <si>
    <t>La nómina de arriba y la cuota del crédito (hoja 4) se suman automáticamente: no las repitas aquí.</t>
  </si>
  <si>
    <t>Arriendo del local o lote</t>
  </si>
  <si>
    <t>Servicios públicos</t>
  </si>
  <si>
    <t>Internet y celular</t>
  </si>
  <si>
    <t>Publicidad</t>
  </si>
  <si>
    <t>Transporte y domicilios fijos</t>
  </si>
  <si>
    <t>Papelería y aseo</t>
  </si>
  <si>
    <t>Mantenimiento</t>
  </si>
  <si>
    <t>Impuestos y tasas fijas</t>
  </si>
  <si>
    <t>Cuotas de créditos YA existentes</t>
  </si>
  <si>
    <t>Otros gastos fijos</t>
  </si>
  <si>
    <t>TOTAL RUBROS:</t>
  </si>
  <si>
    <t>TOTAL FIJOS (rubros + nómina):</t>
  </si>
  <si>
    <t>TUS ACTIVOS: ¿ya lo tienes o de verdad debes comprarlo?</t>
  </si>
  <si>
    <t>Solo lo que COMPRAS sale de tu bolsillo. Pero TODO se desgasta: la depreciación se calcula según la vida útil.</t>
  </si>
  <si>
    <t>Activo</t>
  </si>
  <si>
    <t>Categoría</t>
  </si>
  <si>
    <t>¿Ya lo tienes?</t>
  </si>
  <si>
    <t>Valor $</t>
  </si>
  <si>
    <t>Vida útil (años)</t>
  </si>
  <si>
    <t>Depreciación / mes</t>
  </si>
  <si>
    <t>Tostadora</t>
  </si>
  <si>
    <t>Maquinaria y equipo</t>
  </si>
  <si>
    <t>Debo comprarlo</t>
  </si>
  <si>
    <t>Molino</t>
  </si>
  <si>
    <t>Ya lo tengo</t>
  </si>
  <si>
    <t>Herramientas</t>
  </si>
  <si>
    <t>Selladora</t>
  </si>
  <si>
    <t>Muebles y enseres</t>
  </si>
  <si>
    <t>Equipos de cómputo</t>
  </si>
  <si>
    <t>Vehículos</t>
  </si>
  <si>
    <t>Construcciones y adecuaciones</t>
  </si>
  <si>
    <t>Inversión en COMPRAS:</t>
  </si>
  <si>
    <t>Depreciación total/mes:</t>
  </si>
  <si>
    <t>Gastos diferidos (registro, licencias, INVIMA, publicidad de apertura):</t>
  </si>
  <si>
    <t>Capital de trabajo (inventario inicial + caja; sugerido: 2 meses de tus fijos):</t>
  </si>
  <si>
    <t>INVERSIÓN TOTAL:</t>
  </si>
  <si>
    <t>TU CRÉDITO (si aplica)</t>
  </si>
  <si>
    <t>Monto del crédito:</t>
  </si>
  <si>
    <t>Tasa de interés MENSUAL (%):</t>
  </si>
  <si>
    <t>Plazo (meses):</t>
  </si>
  <si>
    <t>Cuota mensual:</t>
  </si>
  <si>
    <t>Tasa efectiva anual equivalente:</t>
  </si>
  <si>
    <t>Total que pagarás:</t>
  </si>
  <si>
    <t>Solo intereses:</t>
  </si>
  <si>
    <t>Usura consumo vigente (ago-2026): 29,66% EA — si tu tasa EA la supera, es ilegal.</t>
  </si>
  <si>
    <t>Mes</t>
  </si>
  <si>
    <t>Cuota</t>
  </si>
  <si>
    <t>Interés</t>
  </si>
  <si>
    <t>Abono a capital</t>
  </si>
  <si>
    <t>Saldo</t>
  </si>
  <si>
    <t>TUS RESULTADOS FINANCIEROS</t>
  </si>
  <si>
    <t>Esta hoja no se edita (salvo los 3 parámetros de proyección): todo se calcula desde las hojas 1 a 4.</t>
  </si>
  <si>
    <t>Ventas del mes</t>
  </si>
  <si>
    <t>Margen de contribución del mes</t>
  </si>
  <si>
    <t>Margen de contribución %</t>
  </si>
  <si>
    <t>Gastos fijos + nómina (mes)</t>
  </si>
  <si>
    <t>Depreciación del mes (desgaste de equipos)</t>
  </si>
  <si>
    <t>Cuota del crédito</t>
  </si>
  <si>
    <t>PUNTO DE EQUILIBRIO ($ ventas/mes)</t>
  </si>
  <si>
    <t>Punto de equilibrio cubriendo también la cuota</t>
  </si>
  <si>
    <t>CAJA del mes (margen − fijos − cuota)</t>
  </si>
  <si>
    <t>Utilidad contable (margen − fijos − depreciación)</t>
  </si>
  <si>
    <t>Inversión total</t>
  </si>
  <si>
    <t>Tu aporte propio (inversión − crédito)</t>
  </si>
  <si>
    <t>Uso de tu capacidad instalada hoy</t>
  </si>
  <si>
    <t>PARÁMETROS DE PROYECCIÓN (estos sí puedes editarlos):</t>
  </si>
  <si>
    <t>Crecimiento anual de ventas (%)</t>
  </si>
  <si>
    <t>Inflación anual para gastos (%) — ref. IPC 6,14</t>
  </si>
  <si>
    <t>Tasa de oportunidad anual (%)</t>
  </si>
  <si>
    <t>PROYECCIÓN A 5 AÑOS</t>
  </si>
  <si>
    <t>Año 1</t>
  </si>
  <si>
    <t>Año 2</t>
  </si>
  <si>
    <t>Año 3</t>
  </si>
  <si>
    <t>Año 4</t>
  </si>
  <si>
    <t>Año 5</t>
  </si>
  <si>
    <t>Unidades/mes (topadas por tu capacidad)</t>
  </si>
  <si>
    <t>Margen de contribución anual</t>
  </si>
  <si>
    <t>Gastos fijos anuales</t>
  </si>
  <si>
    <t>FLUJO OPERATIVO del año</t>
  </si>
  <si>
    <t>Cuota anual del crédito</t>
  </si>
  <si>
    <t>CAJA del año</t>
  </si>
  <si>
    <t>Flujo acumulado</t>
  </si>
  <si>
    <t>INDICADORES DEL PROYECTO</t>
  </si>
  <si>
    <t>Flujos para TIR (año 0 → 5):</t>
  </si>
  <si>
    <t>VAN (valor presente neto, 5 años)</t>
  </si>
  <si>
    <t>TIR anual</t>
  </si>
  <si>
    <t>Recuperas la inversión total en (meses)</t>
  </si>
  <si>
    <t>ESCENARIO PESIMISTA: caja mensual si vendes −20%</t>
  </si>
  <si>
    <t>ESCENARIO OPTIMISTA: caja mensual si vendes +20%</t>
  </si>
  <si>
    <t>REGISTRO DIARIO DE INGRESOS Y EGRESOS — mes: ______</t>
  </si>
  <si>
    <t>Anota TODO, todos los días, separado de las cuentas de la casa. Tres meses de registro ordenado abren la puerta al crédito formal.</t>
  </si>
  <si>
    <t>Día</t>
  </si>
  <si>
    <t>¿Qué entró? (venta, abono…)</t>
  </si>
  <si>
    <t>Entró $</t>
  </si>
  <si>
    <t>¿Qué salió? (compra, pago…)</t>
  </si>
  <si>
    <t>Salió $</t>
  </si>
  <si>
    <t>TOTALES DEL MES:</t>
  </si>
  <si>
    <t>Apps gratuitas que ayudan: Treinta (ventas, gastos e inventario; gratis para empezar, funciones avanzadas de pago),</t>
  </si>
  <si>
    <t>Nequi y Daviplata (cuentas sin costo para separar la plata del negocio). La planilla en papel también vale: lo importante es HACERLO.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</si>
</sst>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\%"/>
    <numFmt numFmtId="165" formatCode="\$#,##0"/>
    <numFmt numFmtId="166" formatCode="0.0\%"/>
    <numFmt numFmtId="167" formatCode="0.0"/>
  </numFmts>
  <fonts count="11" x14ac:knownFonts="1">
    <font>
      <sz val="11"/>
      <color theme="1"/>
      <name val="Calibri"/>
      <family val="2"/>
      <charset val="1"/>
    </font>
    <font>
      <b/>
      <sz val="16"/>
      <color rgb="FF1E1E23"/>
      <name val="Cambria"/>
      <family val="1"/>
    </font>
    <font>
      <sz val="11"/>
      <color rgb="FF666666"/>
      <name val="Cambria"/>
      <family val="1"/>
    </font>
    <font>
      <b/>
      <sz val="12"/>
      <color rgb="FFC81B24"/>
      <name val="Cambria"/>
      <family val="1"/>
    </font>
    <font>
      <i/>
      <sz val="11"/>
      <color rgb="FF666666"/>
      <name val="Cambria"/>
      <family val="1"/>
    </font>
    <font>
      <sz val="9"/>
      <color rgb="FF666666"/>
      <name val="Cambria"/>
      <family val="1"/>
    </font>
    <font>
      <b/>
      <sz val="11"/>
      <name val="Cambria"/>
      <family val="1"/>
    </font>
    <font>
      <b/>
      <sz val="11"/>
      <color rgb="FFFFFFFF"/>
      <name val="Cambria"/>
      <family val="1"/>
    </font>
    <font>
      <b/>
      <sz val="9"/>
      <name val="Cambria"/>
      <family val="1"/>
    </font>
    <font>
      <sz val="9"/>
      <name val="Cambria"/>
      <family val="1"/>
    </font>
    <font>
      <sz val="9"/>
      <color rgb="FFC81B24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FFF7E6"/>
        <bgColor rgb="FFF2F2F2"/>
      </patternFill>
    </fill>
    <fill>
      <patternFill patternType="solid">
        <fgColor rgb="FFC81B24"/>
        <bgColor rgb="FF993366"/>
      </patternFill>
    </fill>
    <fill>
      <patternFill patternType="solid">
        <fgColor rgb="FFF2F2F2"/>
        <bgColor rgb="FFFFF7E6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7" fillId="3" borderId="1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0" borderId="1" xfId="0" applyNumberFormat="1" applyBorder="1"/>
    <xf numFmtId="165" fontId="6" fillId="4" borderId="1" xfId="0" applyNumberFormat="1" applyFont="1" applyFill="1" applyBorder="1"/>
    <xf numFmtId="166" fontId="6" fillId="0" borderId="1" xfId="0" applyNumberFormat="1" applyFont="1" applyBorder="1"/>
    <xf numFmtId="3" fontId="0" fillId="2" borderId="1" xfId="0" applyNumberFormat="1" applyFill="1" applyBorder="1" applyProtection="1">
      <protection locked="0"/>
    </xf>
    <xf numFmtId="0" fontId="0" fillId="0" borderId="1" xfId="0" applyBorder="1"/>
    <xf numFmtId="0" fontId="8" fillId="0" borderId="0" xfId="0" applyFont="1"/>
    <xf numFmtId="1" fontId="0" fillId="0" borderId="1" xfId="0" applyNumberFormat="1" applyBorder="1"/>
    <xf numFmtId="0" fontId="9" fillId="0" borderId="0" xfId="0" applyFont="1"/>
    <xf numFmtId="1" fontId="0" fillId="2" borderId="1" xfId="0" applyNumberFormat="1" applyFill="1" applyBorder="1" applyProtection="1">
      <protection locked="0"/>
    </xf>
    <xf numFmtId="166" fontId="0" fillId="0" borderId="1" xfId="0" applyNumberFormat="1" applyBorder="1"/>
    <xf numFmtId="0" fontId="10" fillId="0" borderId="0" xfId="0" applyFont="1"/>
    <xf numFmtId="0" fontId="6" fillId="0" borderId="1" xfId="0" applyFont="1" applyBorder="1"/>
    <xf numFmtId="166" fontId="6" fillId="4" borderId="1" xfId="0" applyNumberFormat="1" applyFont="1" applyFill="1" applyBorder="1"/>
    <xf numFmtId="167" fontId="0" fillId="2" borderId="1" xfId="0" applyNumberFormat="1" applyFill="1" applyBorder="1" applyProtection="1">
      <protection locked="0"/>
    </xf>
    <xf numFmtId="3" fontId="0" fillId="0" borderId="1" xfId="0" applyNumberFormat="1" applyBorder="1"/>
    <xf numFmtId="165" fontId="6" fillId="0" borderId="1" xfId="0" applyNumberFormat="1" applyFont="1" applyBorder="1"/>
    <xf numFmtId="1" fontId="6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7E6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C81B24"/>
      <rgbColor rgb="FF993366"/>
      <rgbColor rgb="FF333399"/>
      <rgbColor rgb="FF1E1E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9"/>
  <sheetViews>
    <sheetView zoomScaleNormal="100" workbookViewId="0"/>
  </sheetViews>
  <sheetFormatPr baseColWidth="10" defaultColWidth="8.6640625" defaultRowHeight="15" x14ac:dyDescent="0.2"/>
  <cols>
    <col min="1" max="1" width="100" customWidth="1"/>
  </cols>
  <sheetData>
    <row r="2" spans="1:1" ht="21" x14ac:dyDescent="0.25">
      <c r="A2" s="1" t="s">
        <v>0</v>
      </c>
    </row>
    <row r="3" spans="1:1" x14ac:dyDescent="0.2">
      <c r="A3" s="2" t="s">
        <v>1</v>
      </c>
    </row>
    <row r="5" spans="1:1" x14ac:dyDescent="0.2">
      <c r="A5" t="s">
        <v>2</v>
      </c>
    </row>
    <row r="6" spans="1:1" x14ac:dyDescent="0.2">
      <c r="A6" t="s">
        <v>3</v>
      </c>
    </row>
    <row r="8" spans="1:1" ht="16" x14ac:dyDescent="0.2">
      <c r="A8" s="3" t="s">
        <v>4</v>
      </c>
    </row>
    <row r="9" spans="1:1" x14ac:dyDescent="0.2">
      <c r="A9" t="s">
        <v>5</v>
      </c>
    </row>
    <row r="10" spans="1:1" x14ac:dyDescent="0.2">
      <c r="A10" t="s">
        <v>6</v>
      </c>
    </row>
    <row r="11" spans="1:1" x14ac:dyDescent="0.2">
      <c r="A11" t="s">
        <v>7</v>
      </c>
    </row>
    <row r="13" spans="1:1" ht="16" x14ac:dyDescent="0.2">
      <c r="A13" s="3" t="s">
        <v>8</v>
      </c>
    </row>
    <row r="14" spans="1:1" x14ac:dyDescent="0.2">
      <c r="A14" t="s">
        <v>9</v>
      </c>
    </row>
    <row r="15" spans="1:1" x14ac:dyDescent="0.2">
      <c r="A15" t="s">
        <v>10</v>
      </c>
    </row>
    <row r="17" spans="1:1" x14ac:dyDescent="0.2">
      <c r="A17" t="s">
        <v>11</v>
      </c>
    </row>
    <row r="18" spans="1:1" x14ac:dyDescent="0.2">
      <c r="A18" t="s">
        <v>12</v>
      </c>
    </row>
    <row r="19" spans="1:1" x14ac:dyDescent="0.2">
      <c r="A19" s="4" t="s">
        <v>13</v>
      </c>
    </row>
  </sheetData>
  <sheetProtection password="EF83" sheet="1" formatCells="0" formatColumns="0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8"/>
  <sheetViews>
    <sheetView zoomScaleNormal="100" workbookViewId="0"/>
  </sheetViews>
  <sheetFormatPr baseColWidth="10" defaultColWidth="8.6640625" defaultRowHeight="15" x14ac:dyDescent="0.2"/>
  <cols>
    <col min="1" max="1" width="22" customWidth="1"/>
    <col min="2" max="2" width="26" customWidth="1"/>
    <col min="3" max="3" width="15" customWidth="1"/>
    <col min="4" max="4" width="14" customWidth="1"/>
    <col min="5" max="5" width="15" customWidth="1"/>
    <col min="6" max="6" width="14" customWidth="1"/>
  </cols>
  <sheetData>
    <row r="1" spans="1:6" ht="21" x14ac:dyDescent="0.25">
      <c r="A1" s="1" t="s">
        <v>14</v>
      </c>
    </row>
    <row r="2" spans="1:6" x14ac:dyDescent="0.2">
      <c r="A2" s="5" t="s">
        <v>15</v>
      </c>
    </row>
    <row r="3" spans="1:6" x14ac:dyDescent="0.2">
      <c r="A3" s="6" t="s">
        <v>16</v>
      </c>
      <c r="D3" s="7">
        <v>40</v>
      </c>
      <c r="E3" s="5" t="s">
        <v>17</v>
      </c>
    </row>
    <row r="5" spans="1:6" ht="16" x14ac:dyDescent="0.2">
      <c r="A5" s="3" t="s">
        <v>18</v>
      </c>
      <c r="C5" s="8" t="s">
        <v>19</v>
      </c>
    </row>
    <row r="6" spans="1:6" ht="31" x14ac:dyDescent="0.2">
      <c r="A6" s="9" t="s">
        <v>20</v>
      </c>
      <c r="B6" s="9" t="s">
        <v>21</v>
      </c>
      <c r="C6" s="9" t="s">
        <v>22</v>
      </c>
      <c r="D6" s="9" t="s">
        <v>23</v>
      </c>
      <c r="E6" s="9" t="s">
        <v>24</v>
      </c>
      <c r="F6" s="9" t="s">
        <v>25</v>
      </c>
    </row>
    <row r="7" spans="1:6" x14ac:dyDescent="0.2">
      <c r="A7" s="8" t="s">
        <v>26</v>
      </c>
      <c r="B7" s="8" t="s">
        <v>27</v>
      </c>
      <c r="C7" s="8" t="s">
        <v>28</v>
      </c>
      <c r="D7" s="10">
        <v>0.55000000000000004</v>
      </c>
      <c r="E7" s="11">
        <v>21818</v>
      </c>
      <c r="F7" s="12">
        <f t="shared" ref="F7:F12" si="0">IF(N(D7)*N(E7)=0,"",D7*E7)</f>
        <v>11999.900000000001</v>
      </c>
    </row>
    <row r="8" spans="1:6" x14ac:dyDescent="0.2">
      <c r="A8" s="8" t="s">
        <v>29</v>
      </c>
      <c r="B8" s="8" t="s">
        <v>30</v>
      </c>
      <c r="C8" s="8" t="s">
        <v>31</v>
      </c>
      <c r="D8" s="10">
        <v>1</v>
      </c>
      <c r="E8" s="11">
        <v>3000</v>
      </c>
      <c r="F8" s="12">
        <f t="shared" si="0"/>
        <v>3000</v>
      </c>
    </row>
    <row r="9" spans="1:6" x14ac:dyDescent="0.2">
      <c r="A9" s="8" t="s">
        <v>32</v>
      </c>
      <c r="B9" s="8" t="s">
        <v>33</v>
      </c>
      <c r="C9" s="8" t="s">
        <v>31</v>
      </c>
      <c r="D9" s="10">
        <v>1</v>
      </c>
      <c r="E9" s="11">
        <v>1800</v>
      </c>
      <c r="F9" s="12">
        <f t="shared" si="0"/>
        <v>1800</v>
      </c>
    </row>
    <row r="10" spans="1:6" x14ac:dyDescent="0.2">
      <c r="A10" s="8"/>
      <c r="B10" s="8"/>
      <c r="C10" s="8"/>
      <c r="D10" s="10"/>
      <c r="E10" s="11"/>
      <c r="F10" s="12" t="str">
        <f t="shared" si="0"/>
        <v/>
      </c>
    </row>
    <row r="11" spans="1:6" x14ac:dyDescent="0.2">
      <c r="A11" s="8"/>
      <c r="B11" s="8"/>
      <c r="C11" s="8"/>
      <c r="D11" s="10"/>
      <c r="E11" s="11"/>
      <c r="F11" s="12" t="str">
        <f t="shared" si="0"/>
        <v/>
      </c>
    </row>
    <row r="12" spans="1:6" x14ac:dyDescent="0.2">
      <c r="A12" s="8"/>
      <c r="B12" s="8"/>
      <c r="C12" s="8"/>
      <c r="D12" s="10"/>
      <c r="E12" s="11"/>
      <c r="F12" s="12" t="str">
        <f t="shared" si="0"/>
        <v/>
      </c>
    </row>
    <row r="13" spans="1:6" x14ac:dyDescent="0.2">
      <c r="E13" s="6" t="s">
        <v>34</v>
      </c>
      <c r="F13" s="13">
        <f>SUM(F7:F12)</f>
        <v>16799.900000000001</v>
      </c>
    </row>
    <row r="14" spans="1:6" x14ac:dyDescent="0.2">
      <c r="A14" t="s">
        <v>35</v>
      </c>
      <c r="C14" s="12">
        <f>IF(F13&gt;0,ROUND(F13/(1-$D$3/100),-2),"")</f>
        <v>28000</v>
      </c>
      <c r="D14" s="6" t="s">
        <v>36</v>
      </c>
      <c r="F14" s="11">
        <v>28000</v>
      </c>
    </row>
    <row r="15" spans="1:6" x14ac:dyDescent="0.2">
      <c r="A15" t="s">
        <v>37</v>
      </c>
      <c r="C15" s="14">
        <f>IF(N(F14)&gt;0,(F14-F13)/F14*100,"")</f>
        <v>40.000357142857141</v>
      </c>
      <c r="D15" t="s">
        <v>38</v>
      </c>
      <c r="F15" s="15">
        <v>300</v>
      </c>
    </row>
    <row r="16" spans="1:6" x14ac:dyDescent="0.2">
      <c r="A16" t="s">
        <v>39</v>
      </c>
      <c r="F16" s="15">
        <v>600</v>
      </c>
    </row>
    <row r="18" spans="1:6" ht="16" x14ac:dyDescent="0.2">
      <c r="A18" s="3" t="s">
        <v>40</v>
      </c>
      <c r="C18" s="8"/>
    </row>
    <row r="19" spans="1:6" ht="31" x14ac:dyDescent="0.2">
      <c r="A19" s="9" t="s">
        <v>20</v>
      </c>
      <c r="B19" s="9" t="s">
        <v>21</v>
      </c>
      <c r="C19" s="9" t="s">
        <v>22</v>
      </c>
      <c r="D19" s="9" t="s">
        <v>23</v>
      </c>
      <c r="E19" s="9" t="s">
        <v>24</v>
      </c>
      <c r="F19" s="9" t="s">
        <v>25</v>
      </c>
    </row>
    <row r="20" spans="1:6" x14ac:dyDescent="0.2">
      <c r="A20" s="8"/>
      <c r="B20" s="8"/>
      <c r="C20" s="8"/>
      <c r="D20" s="10"/>
      <c r="E20" s="11"/>
      <c r="F20" s="12" t="str">
        <f t="shared" ref="F20:F25" si="1">IF(N(D20)*N(E20)=0,"",D20*E20)</f>
        <v/>
      </c>
    </row>
    <row r="21" spans="1:6" x14ac:dyDescent="0.2">
      <c r="A21" s="8"/>
      <c r="B21" s="8"/>
      <c r="C21" s="8"/>
      <c r="D21" s="10"/>
      <c r="E21" s="11"/>
      <c r="F21" s="12" t="str">
        <f t="shared" si="1"/>
        <v/>
      </c>
    </row>
    <row r="22" spans="1:6" x14ac:dyDescent="0.2">
      <c r="A22" s="8"/>
      <c r="B22" s="8"/>
      <c r="C22" s="8"/>
      <c r="D22" s="10"/>
      <c r="E22" s="11"/>
      <c r="F22" s="12" t="str">
        <f t="shared" si="1"/>
        <v/>
      </c>
    </row>
    <row r="23" spans="1:6" x14ac:dyDescent="0.2">
      <c r="A23" s="8"/>
      <c r="B23" s="8"/>
      <c r="C23" s="8"/>
      <c r="D23" s="10"/>
      <c r="E23" s="11"/>
      <c r="F23" s="12" t="str">
        <f t="shared" si="1"/>
        <v/>
      </c>
    </row>
    <row r="24" spans="1:6" x14ac:dyDescent="0.2">
      <c r="A24" s="8"/>
      <c r="B24" s="8"/>
      <c r="C24" s="8"/>
      <c r="D24" s="10"/>
      <c r="E24" s="11"/>
      <c r="F24" s="12" t="str">
        <f t="shared" si="1"/>
        <v/>
      </c>
    </row>
    <row r="25" spans="1:6" x14ac:dyDescent="0.2">
      <c r="A25" s="8"/>
      <c r="B25" s="8"/>
      <c r="C25" s="8"/>
      <c r="D25" s="10"/>
      <c r="E25" s="11"/>
      <c r="F25" s="12" t="str">
        <f t="shared" si="1"/>
        <v/>
      </c>
    </row>
    <row r="26" spans="1:6" x14ac:dyDescent="0.2">
      <c r="E26" s="6" t="s">
        <v>34</v>
      </c>
      <c r="F26" s="13">
        <f>SUM(F20:F25)</f>
        <v>0</v>
      </c>
    </row>
    <row r="27" spans="1:6" x14ac:dyDescent="0.2">
      <c r="A27" t="s">
        <v>35</v>
      </c>
      <c r="C27" s="12" t="str">
        <f>IF(F26&gt;0,ROUND(F26/(1-$D$3/100),-2),"")</f>
        <v/>
      </c>
      <c r="D27" s="6" t="s">
        <v>36</v>
      </c>
      <c r="F27" s="11"/>
    </row>
    <row r="28" spans="1:6" x14ac:dyDescent="0.2">
      <c r="A28" t="s">
        <v>37</v>
      </c>
      <c r="C28" s="14" t="str">
        <f>IF(N(F27)&gt;0,(F27-F26)/F27*100,"")</f>
        <v/>
      </c>
      <c r="D28" t="s">
        <v>38</v>
      </c>
      <c r="F28" s="15"/>
    </row>
    <row r="29" spans="1:6" x14ac:dyDescent="0.2">
      <c r="A29" t="s">
        <v>39</v>
      </c>
      <c r="F29" s="15"/>
    </row>
    <row r="31" spans="1:6" ht="16" x14ac:dyDescent="0.2">
      <c r="A31" s="3" t="s">
        <v>41</v>
      </c>
      <c r="C31" s="8"/>
    </row>
    <row r="32" spans="1:6" ht="31" x14ac:dyDescent="0.2">
      <c r="A32" s="9" t="s">
        <v>20</v>
      </c>
      <c r="B32" s="9" t="s">
        <v>21</v>
      </c>
      <c r="C32" s="9" t="s">
        <v>22</v>
      </c>
      <c r="D32" s="9" t="s">
        <v>23</v>
      </c>
      <c r="E32" s="9" t="s">
        <v>24</v>
      </c>
      <c r="F32" s="9" t="s">
        <v>25</v>
      </c>
    </row>
    <row r="33" spans="1:6" x14ac:dyDescent="0.2">
      <c r="A33" s="8"/>
      <c r="B33" s="8"/>
      <c r="C33" s="8"/>
      <c r="D33" s="10"/>
      <c r="E33" s="11"/>
      <c r="F33" s="12" t="str">
        <f t="shared" ref="F33:F38" si="2">IF(N(D33)*N(E33)=0,"",D33*E33)</f>
        <v/>
      </c>
    </row>
    <row r="34" spans="1:6" x14ac:dyDescent="0.2">
      <c r="A34" s="8"/>
      <c r="B34" s="8"/>
      <c r="C34" s="8"/>
      <c r="D34" s="10"/>
      <c r="E34" s="11"/>
      <c r="F34" s="12" t="str">
        <f t="shared" si="2"/>
        <v/>
      </c>
    </row>
    <row r="35" spans="1:6" x14ac:dyDescent="0.2">
      <c r="A35" s="8"/>
      <c r="B35" s="8"/>
      <c r="C35" s="8"/>
      <c r="D35" s="10"/>
      <c r="E35" s="11"/>
      <c r="F35" s="12" t="str">
        <f t="shared" si="2"/>
        <v/>
      </c>
    </row>
    <row r="36" spans="1:6" x14ac:dyDescent="0.2">
      <c r="A36" s="8"/>
      <c r="B36" s="8"/>
      <c r="C36" s="8"/>
      <c r="D36" s="10"/>
      <c r="E36" s="11"/>
      <c r="F36" s="12" t="str">
        <f t="shared" si="2"/>
        <v/>
      </c>
    </row>
    <row r="37" spans="1:6" x14ac:dyDescent="0.2">
      <c r="A37" s="8"/>
      <c r="B37" s="8"/>
      <c r="C37" s="8"/>
      <c r="D37" s="10"/>
      <c r="E37" s="11"/>
      <c r="F37" s="12" t="str">
        <f t="shared" si="2"/>
        <v/>
      </c>
    </row>
    <row r="38" spans="1:6" x14ac:dyDescent="0.2">
      <c r="A38" s="8"/>
      <c r="B38" s="8"/>
      <c r="C38" s="8"/>
      <c r="D38" s="10"/>
      <c r="E38" s="11"/>
      <c r="F38" s="12" t="str">
        <f t="shared" si="2"/>
        <v/>
      </c>
    </row>
    <row r="39" spans="1:6" x14ac:dyDescent="0.2">
      <c r="E39" s="6" t="s">
        <v>34</v>
      </c>
      <c r="F39" s="13">
        <f>SUM(F33:F38)</f>
        <v>0</v>
      </c>
    </row>
    <row r="40" spans="1:6" x14ac:dyDescent="0.2">
      <c r="A40" t="s">
        <v>35</v>
      </c>
      <c r="C40" s="12" t="str">
        <f>IF(F39&gt;0,ROUND(F39/(1-$D$3/100),-2),"")</f>
        <v/>
      </c>
      <c r="D40" s="6" t="s">
        <v>36</v>
      </c>
      <c r="F40" s="11"/>
    </row>
    <row r="41" spans="1:6" x14ac:dyDescent="0.2">
      <c r="A41" t="s">
        <v>37</v>
      </c>
      <c r="C41" s="14" t="str">
        <f>IF(N(F40)&gt;0,(F40-F39)/F40*100,"")</f>
        <v/>
      </c>
      <c r="D41" t="s">
        <v>38</v>
      </c>
      <c r="F41" s="15"/>
    </row>
    <row r="42" spans="1:6" x14ac:dyDescent="0.2">
      <c r="A42" t="s">
        <v>39</v>
      </c>
      <c r="F42" s="15"/>
    </row>
    <row r="44" spans="1:6" ht="16" x14ac:dyDescent="0.2">
      <c r="A44" s="3" t="s">
        <v>42</v>
      </c>
      <c r="C44" s="8"/>
    </row>
    <row r="45" spans="1:6" ht="31" x14ac:dyDescent="0.2">
      <c r="A45" s="9" t="s">
        <v>20</v>
      </c>
      <c r="B45" s="9" t="s">
        <v>21</v>
      </c>
      <c r="C45" s="9" t="s">
        <v>22</v>
      </c>
      <c r="D45" s="9" t="s">
        <v>23</v>
      </c>
      <c r="E45" s="9" t="s">
        <v>24</v>
      </c>
      <c r="F45" s="9" t="s">
        <v>25</v>
      </c>
    </row>
    <row r="46" spans="1:6" x14ac:dyDescent="0.2">
      <c r="A46" s="8"/>
      <c r="B46" s="8"/>
      <c r="C46" s="8"/>
      <c r="D46" s="10"/>
      <c r="E46" s="11"/>
      <c r="F46" s="12" t="str">
        <f t="shared" ref="F46:F51" si="3">IF(N(D46)*N(E46)=0,"",D46*E46)</f>
        <v/>
      </c>
    </row>
    <row r="47" spans="1:6" x14ac:dyDescent="0.2">
      <c r="A47" s="8"/>
      <c r="B47" s="8"/>
      <c r="C47" s="8"/>
      <c r="D47" s="10"/>
      <c r="E47" s="11"/>
      <c r="F47" s="12" t="str">
        <f t="shared" si="3"/>
        <v/>
      </c>
    </row>
    <row r="48" spans="1:6" x14ac:dyDescent="0.2">
      <c r="A48" s="8"/>
      <c r="B48" s="8"/>
      <c r="C48" s="8"/>
      <c r="D48" s="10"/>
      <c r="E48" s="11"/>
      <c r="F48" s="12" t="str">
        <f t="shared" si="3"/>
        <v/>
      </c>
    </row>
    <row r="49" spans="1:6" x14ac:dyDescent="0.2">
      <c r="A49" s="8"/>
      <c r="B49" s="8"/>
      <c r="C49" s="8"/>
      <c r="D49" s="10"/>
      <c r="E49" s="11"/>
      <c r="F49" s="12" t="str">
        <f t="shared" si="3"/>
        <v/>
      </c>
    </row>
    <row r="50" spans="1:6" x14ac:dyDescent="0.2">
      <c r="A50" s="8"/>
      <c r="B50" s="8"/>
      <c r="C50" s="8"/>
      <c r="D50" s="10"/>
      <c r="E50" s="11"/>
      <c r="F50" s="12" t="str">
        <f t="shared" si="3"/>
        <v/>
      </c>
    </row>
    <row r="51" spans="1:6" x14ac:dyDescent="0.2">
      <c r="A51" s="8"/>
      <c r="B51" s="8"/>
      <c r="C51" s="8"/>
      <c r="D51" s="10"/>
      <c r="E51" s="11"/>
      <c r="F51" s="12" t="str">
        <f t="shared" si="3"/>
        <v/>
      </c>
    </row>
    <row r="52" spans="1:6" x14ac:dyDescent="0.2">
      <c r="E52" s="6" t="s">
        <v>34</v>
      </c>
      <c r="F52" s="13">
        <f>SUM(F46:F51)</f>
        <v>0</v>
      </c>
    </row>
    <row r="53" spans="1:6" x14ac:dyDescent="0.2">
      <c r="A53" t="s">
        <v>35</v>
      </c>
      <c r="C53" s="12" t="str">
        <f>IF(F52&gt;0,ROUND(F52/(1-$D$3/100),-2),"")</f>
        <v/>
      </c>
      <c r="D53" s="6" t="s">
        <v>36</v>
      </c>
      <c r="F53" s="11"/>
    </row>
    <row r="54" spans="1:6" x14ac:dyDescent="0.2">
      <c r="A54" t="s">
        <v>37</v>
      </c>
      <c r="C54" s="14" t="str">
        <f>IF(N(F53)&gt;0,(F53-F52)/F53*100,"")</f>
        <v/>
      </c>
      <c r="D54" t="s">
        <v>38</v>
      </c>
      <c r="F54" s="15"/>
    </row>
    <row r="55" spans="1:6" x14ac:dyDescent="0.2">
      <c r="A55" t="s">
        <v>39</v>
      </c>
      <c r="F55" s="15"/>
    </row>
    <row r="57" spans="1:6" ht="16" x14ac:dyDescent="0.2">
      <c r="A57" s="3" t="s">
        <v>43</v>
      </c>
      <c r="C57" s="8"/>
    </row>
    <row r="58" spans="1:6" ht="31" x14ac:dyDescent="0.2">
      <c r="A58" s="9" t="s">
        <v>20</v>
      </c>
      <c r="B58" s="9" t="s">
        <v>21</v>
      </c>
      <c r="C58" s="9" t="s">
        <v>22</v>
      </c>
      <c r="D58" s="9" t="s">
        <v>23</v>
      </c>
      <c r="E58" s="9" t="s">
        <v>24</v>
      </c>
      <c r="F58" s="9" t="s">
        <v>25</v>
      </c>
    </row>
    <row r="59" spans="1:6" x14ac:dyDescent="0.2">
      <c r="A59" s="8"/>
      <c r="B59" s="8"/>
      <c r="C59" s="8"/>
      <c r="D59" s="10"/>
      <c r="E59" s="11"/>
      <c r="F59" s="12" t="str">
        <f t="shared" ref="F59:F64" si="4">IF(N(D59)*N(E59)=0,"",D59*E59)</f>
        <v/>
      </c>
    </row>
    <row r="60" spans="1:6" x14ac:dyDescent="0.2">
      <c r="A60" s="8"/>
      <c r="B60" s="8"/>
      <c r="C60" s="8"/>
      <c r="D60" s="10"/>
      <c r="E60" s="11"/>
      <c r="F60" s="12" t="str">
        <f t="shared" si="4"/>
        <v/>
      </c>
    </row>
    <row r="61" spans="1:6" x14ac:dyDescent="0.2">
      <c r="A61" s="8"/>
      <c r="B61" s="8"/>
      <c r="C61" s="8"/>
      <c r="D61" s="10"/>
      <c r="E61" s="11"/>
      <c r="F61" s="12" t="str">
        <f t="shared" si="4"/>
        <v/>
      </c>
    </row>
    <row r="62" spans="1:6" x14ac:dyDescent="0.2">
      <c r="A62" s="8"/>
      <c r="B62" s="8"/>
      <c r="C62" s="8"/>
      <c r="D62" s="10"/>
      <c r="E62" s="11"/>
      <c r="F62" s="12" t="str">
        <f t="shared" si="4"/>
        <v/>
      </c>
    </row>
    <row r="63" spans="1:6" x14ac:dyDescent="0.2">
      <c r="A63" s="8"/>
      <c r="B63" s="8"/>
      <c r="C63" s="8"/>
      <c r="D63" s="10"/>
      <c r="E63" s="11"/>
      <c r="F63" s="12" t="str">
        <f t="shared" si="4"/>
        <v/>
      </c>
    </row>
    <row r="64" spans="1:6" x14ac:dyDescent="0.2">
      <c r="A64" s="8"/>
      <c r="B64" s="8"/>
      <c r="C64" s="8"/>
      <c r="D64" s="10"/>
      <c r="E64" s="11"/>
      <c r="F64" s="12" t="str">
        <f t="shared" si="4"/>
        <v/>
      </c>
    </row>
    <row r="65" spans="1:6" x14ac:dyDescent="0.2">
      <c r="E65" s="6" t="s">
        <v>34</v>
      </c>
      <c r="F65" s="13">
        <f>SUM(F59:F64)</f>
        <v>0</v>
      </c>
    </row>
    <row r="66" spans="1:6" x14ac:dyDescent="0.2">
      <c r="A66" t="s">
        <v>35</v>
      </c>
      <c r="C66" s="12" t="str">
        <f>IF(F65&gt;0,ROUND(F65/(1-$D$3/100),-2),"")</f>
        <v/>
      </c>
      <c r="D66" s="6" t="s">
        <v>36</v>
      </c>
      <c r="F66" s="11"/>
    </row>
    <row r="67" spans="1:6" x14ac:dyDescent="0.2">
      <c r="A67" t="s">
        <v>37</v>
      </c>
      <c r="C67" s="14" t="str">
        <f>IF(N(F66)&gt;0,(F66-F65)/F66*100,"")</f>
        <v/>
      </c>
      <c r="D67" t="s">
        <v>38</v>
      </c>
      <c r="F67" s="15"/>
    </row>
    <row r="68" spans="1:6" x14ac:dyDescent="0.2">
      <c r="A68" t="s">
        <v>39</v>
      </c>
      <c r="F68" s="15"/>
    </row>
  </sheetData>
  <sheetProtection password="EF83" sheet="1" formatCells="0" formatColumns="0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9"/>
  <sheetViews>
    <sheetView zoomScaleNormal="100" workbookViewId="0"/>
  </sheetViews>
  <sheetFormatPr baseColWidth="10" defaultColWidth="8.6640625" defaultRowHeight="15" x14ac:dyDescent="0.2"/>
  <cols>
    <col min="1" max="1" width="32" customWidth="1"/>
    <col min="2" max="2" width="16" customWidth="1"/>
    <col min="3" max="3" width="18" customWidth="1"/>
    <col min="4" max="5" width="16" customWidth="1"/>
    <col min="6" max="6" width="22" customWidth="1"/>
  </cols>
  <sheetData>
    <row r="1" spans="1:6" ht="21" x14ac:dyDescent="0.25">
      <c r="A1" s="1" t="s">
        <v>44</v>
      </c>
    </row>
    <row r="2" spans="1:6" x14ac:dyDescent="0.2">
      <c r="A2" s="5" t="s">
        <v>45</v>
      </c>
    </row>
    <row r="4" spans="1:6" ht="31" x14ac:dyDescent="0.2">
      <c r="A4" s="9" t="s">
        <v>46</v>
      </c>
      <c r="B4" s="9" t="s">
        <v>47</v>
      </c>
      <c r="C4" s="9" t="s">
        <v>48</v>
      </c>
      <c r="D4" s="9" t="s">
        <v>49</v>
      </c>
      <c r="E4" s="9" t="s">
        <v>50</v>
      </c>
      <c r="F4" s="9" t="s">
        <v>51</v>
      </c>
    </row>
    <row r="5" spans="1:6" x14ac:dyDescent="0.2">
      <c r="A5" s="8" t="s">
        <v>52</v>
      </c>
      <c r="B5" s="8" t="s">
        <v>53</v>
      </c>
      <c r="C5" s="11">
        <v>1200000</v>
      </c>
      <c r="D5" s="15"/>
      <c r="E5" s="12">
        <f t="shared" ref="E5:E12" si="0">IF(N(C5)=0,"",IF(B5="Laboral",C5*1.5376,IF(B5="Jornal",C5*N(D5),C5)))</f>
        <v>1200000</v>
      </c>
      <c r="F5" s="8" t="s">
        <v>54</v>
      </c>
    </row>
    <row r="6" spans="1:6" x14ac:dyDescent="0.2">
      <c r="A6" s="8" t="s">
        <v>55</v>
      </c>
      <c r="B6" s="8" t="s">
        <v>56</v>
      </c>
      <c r="C6" s="11">
        <v>60000</v>
      </c>
      <c r="D6" s="15">
        <v>4</v>
      </c>
      <c r="E6" s="12">
        <f t="shared" si="0"/>
        <v>240000</v>
      </c>
      <c r="F6" s="8" t="s">
        <v>57</v>
      </c>
    </row>
    <row r="7" spans="1:6" x14ac:dyDescent="0.2">
      <c r="A7" s="8"/>
      <c r="B7" s="8"/>
      <c r="C7" s="11"/>
      <c r="D7" s="15"/>
      <c r="E7" s="12" t="str">
        <f t="shared" si="0"/>
        <v/>
      </c>
      <c r="F7" s="8"/>
    </row>
    <row r="8" spans="1:6" x14ac:dyDescent="0.2">
      <c r="A8" s="8"/>
      <c r="B8" s="8"/>
      <c r="C8" s="11"/>
      <c r="D8" s="15"/>
      <c r="E8" s="12" t="str">
        <f t="shared" si="0"/>
        <v/>
      </c>
      <c r="F8" s="8"/>
    </row>
    <row r="9" spans="1:6" x14ac:dyDescent="0.2">
      <c r="A9" s="8"/>
      <c r="B9" s="8"/>
      <c r="C9" s="11"/>
      <c r="D9" s="15"/>
      <c r="E9" s="12" t="str">
        <f t="shared" si="0"/>
        <v/>
      </c>
      <c r="F9" s="8"/>
    </row>
    <row r="10" spans="1:6" x14ac:dyDescent="0.2">
      <c r="A10" s="8"/>
      <c r="B10" s="8"/>
      <c r="C10" s="11"/>
      <c r="D10" s="15"/>
      <c r="E10" s="12" t="str">
        <f t="shared" si="0"/>
        <v/>
      </c>
      <c r="F10" s="8"/>
    </row>
    <row r="11" spans="1:6" x14ac:dyDescent="0.2">
      <c r="A11" s="8"/>
      <c r="B11" s="8"/>
      <c r="C11" s="11"/>
      <c r="D11" s="15"/>
      <c r="E11" s="12" t="str">
        <f t="shared" si="0"/>
        <v/>
      </c>
      <c r="F11" s="8"/>
    </row>
    <row r="12" spans="1:6" x14ac:dyDescent="0.2">
      <c r="A12" s="8"/>
      <c r="B12" s="8"/>
      <c r="C12" s="11"/>
      <c r="D12" s="15"/>
      <c r="E12" s="12" t="str">
        <f t="shared" si="0"/>
        <v/>
      </c>
      <c r="F12" s="8"/>
    </row>
    <row r="13" spans="1:6" x14ac:dyDescent="0.2">
      <c r="D13" s="6" t="s">
        <v>58</v>
      </c>
      <c r="E13" s="13">
        <f>SUM(E5:E12)</f>
        <v>1440000</v>
      </c>
    </row>
    <row r="15" spans="1:6" ht="21" x14ac:dyDescent="0.25">
      <c r="A15" s="1" t="s">
        <v>59</v>
      </c>
    </row>
    <row r="16" spans="1:6" x14ac:dyDescent="0.2">
      <c r="A16" s="5" t="s">
        <v>60</v>
      </c>
    </row>
    <row r="18" spans="1:2" x14ac:dyDescent="0.2">
      <c r="A18" s="16" t="s">
        <v>61</v>
      </c>
      <c r="B18" s="11">
        <v>800000</v>
      </c>
    </row>
    <row r="19" spans="1:2" x14ac:dyDescent="0.2">
      <c r="A19" s="16" t="s">
        <v>62</v>
      </c>
      <c r="B19" s="11">
        <v>250000</v>
      </c>
    </row>
    <row r="20" spans="1:2" x14ac:dyDescent="0.2">
      <c r="A20" s="16" t="s">
        <v>63</v>
      </c>
      <c r="B20" s="11"/>
    </row>
    <row r="21" spans="1:2" x14ac:dyDescent="0.2">
      <c r="A21" s="16" t="s">
        <v>64</v>
      </c>
      <c r="B21" s="11"/>
    </row>
    <row r="22" spans="1:2" x14ac:dyDescent="0.2">
      <c r="A22" s="16" t="s">
        <v>65</v>
      </c>
      <c r="B22" s="11">
        <v>150000</v>
      </c>
    </row>
    <row r="23" spans="1:2" x14ac:dyDescent="0.2">
      <c r="A23" s="16" t="s">
        <v>66</v>
      </c>
      <c r="B23" s="11"/>
    </row>
    <row r="24" spans="1:2" x14ac:dyDescent="0.2">
      <c r="A24" s="16" t="s">
        <v>67</v>
      </c>
      <c r="B24" s="11"/>
    </row>
    <row r="25" spans="1:2" x14ac:dyDescent="0.2">
      <c r="A25" s="16" t="s">
        <v>68</v>
      </c>
      <c r="B25" s="11"/>
    </row>
    <row r="26" spans="1:2" x14ac:dyDescent="0.2">
      <c r="A26" s="16" t="s">
        <v>69</v>
      </c>
      <c r="B26" s="11"/>
    </row>
    <row r="27" spans="1:2" x14ac:dyDescent="0.2">
      <c r="A27" s="16" t="s">
        <v>70</v>
      </c>
      <c r="B27" s="11">
        <v>100000</v>
      </c>
    </row>
    <row r="28" spans="1:2" x14ac:dyDescent="0.2">
      <c r="A28" s="6" t="s">
        <v>71</v>
      </c>
      <c r="B28" s="13">
        <f>SUM(B18:B27)</f>
        <v>1300000</v>
      </c>
    </row>
    <row r="29" spans="1:2" x14ac:dyDescent="0.2">
      <c r="A29" s="6" t="s">
        <v>72</v>
      </c>
      <c r="B29" s="13">
        <f>B28+E13</f>
        <v>2740000</v>
      </c>
    </row>
  </sheetData>
  <sheetProtection password="EF83" sheet="1" formatCells="0" formatColumns="0"/>
  <dataValidations count="2">
    <dataValidation type="list" allowBlank="1" sqref="B5:B12" xr:uid="{00000000-0002-0000-0200-000000000000}">
      <formula1>"Laboral,Prestación de servicios,Jornal,Mi propio sueldo"</formula1>
      <formula2>0</formula2>
    </dataValidation>
    <dataValidation type="list" allowBlank="1" sqref="F5:F12" xr:uid="{00000000-0002-0000-0200-000001000000}">
      <formula1>"Producción (costo),Admón. y ventas (gasto)"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"/>
  <sheetViews>
    <sheetView zoomScaleNormal="100" workbookViewId="0"/>
  </sheetViews>
  <sheetFormatPr baseColWidth="10" defaultColWidth="8.6640625" defaultRowHeight="15" x14ac:dyDescent="0.2"/>
  <cols>
    <col min="1" max="1" width="30" customWidth="1"/>
    <col min="2" max="2" width="26" customWidth="1"/>
    <col min="3" max="3" width="18" customWidth="1"/>
    <col min="4" max="4" width="15" customWidth="1"/>
    <col min="5" max="5" width="14" customWidth="1"/>
    <col min="6" max="6" width="16" customWidth="1"/>
    <col min="8" max="8" width="26" customWidth="1"/>
  </cols>
  <sheetData>
    <row r="1" spans="1:9" ht="21" x14ac:dyDescent="0.25">
      <c r="A1" s="1" t="s">
        <v>73</v>
      </c>
    </row>
    <row r="2" spans="1:9" x14ac:dyDescent="0.2">
      <c r="A2" s="5" t="s">
        <v>74</v>
      </c>
    </row>
    <row r="4" spans="1:9" ht="31" x14ac:dyDescent="0.2">
      <c r="A4" s="9" t="s">
        <v>75</v>
      </c>
      <c r="B4" s="9" t="s">
        <v>76</v>
      </c>
      <c r="C4" s="9" t="s">
        <v>77</v>
      </c>
      <c r="D4" s="9" t="s">
        <v>78</v>
      </c>
      <c r="E4" s="9" t="s">
        <v>79</v>
      </c>
      <c r="F4" s="9" t="s">
        <v>80</v>
      </c>
      <c r="H4" s="17" t="s">
        <v>79</v>
      </c>
    </row>
    <row r="5" spans="1:9" x14ac:dyDescent="0.2">
      <c r="A5" s="8" t="s">
        <v>81</v>
      </c>
      <c r="B5" s="8" t="s">
        <v>82</v>
      </c>
      <c r="C5" s="8" t="s">
        <v>83</v>
      </c>
      <c r="D5" s="11">
        <v>6000000</v>
      </c>
      <c r="E5" s="18">
        <f t="shared" ref="E5:E12" si="0">IF(B5="","",INDEX($I$5:$I$10,MATCH(B5,$H$5:$H$10,0)))</f>
        <v>10</v>
      </c>
      <c r="F5" s="12">
        <f t="shared" ref="F5:F12" si="1">IF(OR(N(D5)=0,B5=""),"",D5/(E5*12))</f>
        <v>50000</v>
      </c>
      <c r="H5" s="19" t="s">
        <v>82</v>
      </c>
      <c r="I5" s="19">
        <v>10</v>
      </c>
    </row>
    <row r="6" spans="1:9" x14ac:dyDescent="0.2">
      <c r="A6" s="8" t="s">
        <v>84</v>
      </c>
      <c r="B6" s="8" t="s">
        <v>82</v>
      </c>
      <c r="C6" s="8" t="s">
        <v>85</v>
      </c>
      <c r="D6" s="11">
        <v>1500000</v>
      </c>
      <c r="E6" s="18">
        <f t="shared" si="0"/>
        <v>10</v>
      </c>
      <c r="F6" s="12">
        <f t="shared" si="1"/>
        <v>12500</v>
      </c>
      <c r="H6" s="19" t="s">
        <v>86</v>
      </c>
      <c r="I6" s="19">
        <v>5</v>
      </c>
    </row>
    <row r="7" spans="1:9" x14ac:dyDescent="0.2">
      <c r="A7" s="8" t="s">
        <v>87</v>
      </c>
      <c r="B7" s="8" t="s">
        <v>86</v>
      </c>
      <c r="C7" s="8" t="s">
        <v>83</v>
      </c>
      <c r="D7" s="11">
        <v>400000</v>
      </c>
      <c r="E7" s="18">
        <f t="shared" si="0"/>
        <v>5</v>
      </c>
      <c r="F7" s="12">
        <f t="shared" si="1"/>
        <v>6666.666666666667</v>
      </c>
      <c r="H7" s="19" t="s">
        <v>88</v>
      </c>
      <c r="I7" s="19">
        <v>10</v>
      </c>
    </row>
    <row r="8" spans="1:9" x14ac:dyDescent="0.2">
      <c r="A8" s="8"/>
      <c r="B8" s="8"/>
      <c r="C8" s="8"/>
      <c r="D8" s="11"/>
      <c r="E8" s="18" t="str">
        <f t="shared" si="0"/>
        <v/>
      </c>
      <c r="F8" s="12" t="str">
        <f t="shared" si="1"/>
        <v/>
      </c>
      <c r="H8" s="19" t="s">
        <v>89</v>
      </c>
      <c r="I8" s="19">
        <v>5</v>
      </c>
    </row>
    <row r="9" spans="1:9" x14ac:dyDescent="0.2">
      <c r="A9" s="8"/>
      <c r="B9" s="8"/>
      <c r="C9" s="8"/>
      <c r="D9" s="11"/>
      <c r="E9" s="18" t="str">
        <f t="shared" si="0"/>
        <v/>
      </c>
      <c r="F9" s="12" t="str">
        <f t="shared" si="1"/>
        <v/>
      </c>
      <c r="H9" s="19" t="s">
        <v>90</v>
      </c>
      <c r="I9" s="19">
        <v>5</v>
      </c>
    </row>
    <row r="10" spans="1:9" x14ac:dyDescent="0.2">
      <c r="A10" s="8"/>
      <c r="B10" s="8"/>
      <c r="C10" s="8"/>
      <c r="D10" s="11"/>
      <c r="E10" s="18" t="str">
        <f t="shared" si="0"/>
        <v/>
      </c>
      <c r="F10" s="12" t="str">
        <f t="shared" si="1"/>
        <v/>
      </c>
      <c r="H10" s="19" t="s">
        <v>91</v>
      </c>
      <c r="I10" s="19">
        <v>20</v>
      </c>
    </row>
    <row r="11" spans="1:9" x14ac:dyDescent="0.2">
      <c r="A11" s="8"/>
      <c r="B11" s="8"/>
      <c r="C11" s="8"/>
      <c r="D11" s="11"/>
      <c r="E11" s="18" t="str">
        <f t="shared" si="0"/>
        <v/>
      </c>
      <c r="F11" s="12" t="str">
        <f t="shared" si="1"/>
        <v/>
      </c>
    </row>
    <row r="12" spans="1:9" x14ac:dyDescent="0.2">
      <c r="A12" s="8"/>
      <c r="B12" s="8"/>
      <c r="C12" s="8"/>
      <c r="D12" s="11"/>
      <c r="E12" s="18" t="str">
        <f t="shared" si="0"/>
        <v/>
      </c>
      <c r="F12" s="12" t="str">
        <f t="shared" si="1"/>
        <v/>
      </c>
    </row>
    <row r="14" spans="1:9" x14ac:dyDescent="0.2">
      <c r="C14" s="6" t="s">
        <v>92</v>
      </c>
      <c r="D14" s="13">
        <f>SUMIF(C5:C12,"Debo comprarlo",D5:D12)</f>
        <v>6400000</v>
      </c>
      <c r="E14" s="6" t="s">
        <v>93</v>
      </c>
      <c r="F14" s="13">
        <f>SUM(F5:F12)</f>
        <v>69166.666666666672</v>
      </c>
    </row>
    <row r="16" spans="1:9" x14ac:dyDescent="0.2">
      <c r="A16" t="s">
        <v>94</v>
      </c>
      <c r="D16" s="11">
        <v>1500000</v>
      </c>
    </row>
    <row r="17" spans="1:4" x14ac:dyDescent="0.2">
      <c r="A17" t="s">
        <v>95</v>
      </c>
      <c r="D17" s="11">
        <v>2000000</v>
      </c>
    </row>
    <row r="18" spans="1:4" x14ac:dyDescent="0.2">
      <c r="A18" s="6" t="s">
        <v>96</v>
      </c>
      <c r="D18" s="13">
        <f>D14+D16+D17</f>
        <v>9900000</v>
      </c>
    </row>
  </sheetData>
  <sheetProtection password="EF83" sheet="1" formatCells="0" formatColumns="0"/>
  <dataValidations count="2">
    <dataValidation type="list" allowBlank="1" sqref="B5:B12" xr:uid="{00000000-0002-0000-0300-000000000000}">
      <formula1>"Maquinaria y equipo,Herramientas,Muebles y enseres,Equipos de cómputo,Vehículos,Construcciones y adecuaciones"</formula1>
      <formula2>0</formula2>
    </dataValidation>
    <dataValidation type="list" allowBlank="1" sqref="C5:C12" xr:uid="{00000000-0002-0000-0300-000001000000}">
      <formula1>"Debo comprarlo,Ya lo tengo"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3"/>
  <sheetViews>
    <sheetView zoomScaleNormal="100" workbookViewId="0"/>
  </sheetViews>
  <sheetFormatPr baseColWidth="10" defaultColWidth="8.6640625" defaultRowHeight="15" x14ac:dyDescent="0.2"/>
  <cols>
    <col min="1" max="1" width="34" customWidth="1"/>
    <col min="2" max="2" width="16" customWidth="1"/>
    <col min="3" max="5" width="14" customWidth="1"/>
  </cols>
  <sheetData>
    <row r="1" spans="1:5" ht="21" x14ac:dyDescent="0.25">
      <c r="A1" s="1" t="s">
        <v>97</v>
      </c>
    </row>
    <row r="3" spans="1:5" x14ac:dyDescent="0.2">
      <c r="A3" t="s">
        <v>98</v>
      </c>
      <c r="B3" s="11">
        <v>8000000</v>
      </c>
    </row>
    <row r="4" spans="1:5" x14ac:dyDescent="0.2">
      <c r="A4" t="s">
        <v>99</v>
      </c>
      <c r="B4" s="10">
        <v>2</v>
      </c>
    </row>
    <row r="5" spans="1:5" x14ac:dyDescent="0.2">
      <c r="A5" t="s">
        <v>100</v>
      </c>
      <c r="B5" s="20">
        <v>36</v>
      </c>
    </row>
    <row r="7" spans="1:5" x14ac:dyDescent="0.2">
      <c r="A7" t="s">
        <v>101</v>
      </c>
      <c r="B7" s="13">
        <f>IF(N(B3)*N(B5)=0,0,IF(B4=0,B3/B5,B3*(B4/100)/(1-(1+B4/100)^-B5)))</f>
        <v>313862.82078238524</v>
      </c>
    </row>
    <row r="8" spans="1:5" x14ac:dyDescent="0.2">
      <c r="A8" t="s">
        <v>102</v>
      </c>
      <c r="B8" s="21">
        <f>((1+B4/100)^12-1)*100</f>
        <v>26.824179456254527</v>
      </c>
    </row>
    <row r="9" spans="1:5" x14ac:dyDescent="0.2">
      <c r="A9" t="s">
        <v>103</v>
      </c>
      <c r="B9" s="12">
        <f>B7*B5</f>
        <v>11299061.548165869</v>
      </c>
    </row>
    <row r="10" spans="1:5" x14ac:dyDescent="0.2">
      <c r="A10" t="s">
        <v>104</v>
      </c>
      <c r="B10" s="12">
        <f>B9-B3</f>
        <v>3299061.548165869</v>
      </c>
    </row>
    <row r="11" spans="1:5" x14ac:dyDescent="0.2">
      <c r="A11" s="22" t="s">
        <v>105</v>
      </c>
    </row>
    <row r="13" spans="1:5" ht="16" x14ac:dyDescent="0.2">
      <c r="A13" s="9" t="s">
        <v>106</v>
      </c>
      <c r="B13" s="9" t="s">
        <v>107</v>
      </c>
      <c r="C13" s="9" t="s">
        <v>108</v>
      </c>
      <c r="D13" s="9" t="s">
        <v>109</v>
      </c>
      <c r="E13" s="9" t="s">
        <v>110</v>
      </c>
    </row>
    <row r="14" spans="1:5" x14ac:dyDescent="0.2">
      <c r="A14" s="18">
        <f>IF(1&lt;=$B$5,1,"")</f>
        <v>1</v>
      </c>
      <c r="B14" s="12">
        <f>IF(1&lt;=$B$5,$B$7,"")</f>
        <v>313862.82078238524</v>
      </c>
      <c r="C14" s="12">
        <f>IF(1&lt;=$B$5,$B$3*$B$4/100,"")</f>
        <v>160000</v>
      </c>
      <c r="D14" s="12">
        <f>IF(1&lt;=$B$5,B14-C14,"")</f>
        <v>153862.82078238524</v>
      </c>
      <c r="E14" s="12">
        <f>IF(1&lt;=$B$5,$B$3-D14,"")</f>
        <v>7846137.1792176152</v>
      </c>
    </row>
    <row r="15" spans="1:5" x14ac:dyDescent="0.2">
      <c r="A15" s="18">
        <f>IF(2&lt;=$B$5,2,"")</f>
        <v>2</v>
      </c>
      <c r="B15" s="12">
        <f>IF(2&lt;=$B$5,$B$7,"")</f>
        <v>313862.82078238524</v>
      </c>
      <c r="C15" s="12">
        <f>IF(2&lt;=$B$5,E14*$B$4/100,"")</f>
        <v>156922.74358435231</v>
      </c>
      <c r="D15" s="12">
        <f>IF(2&lt;=$B$5,B15-C15,"")</f>
        <v>156940.07719803293</v>
      </c>
      <c r="E15" s="12">
        <f>IF(2&lt;=$B$5,E14-D15,"")</f>
        <v>7689197.1020195819</v>
      </c>
    </row>
    <row r="16" spans="1:5" x14ac:dyDescent="0.2">
      <c r="A16" s="18">
        <f>IF(3&lt;=$B$5,3,"")</f>
        <v>3</v>
      </c>
      <c r="B16" s="12">
        <f>IF(3&lt;=$B$5,$B$7,"")</f>
        <v>313862.82078238524</v>
      </c>
      <c r="C16" s="12">
        <f>IF(3&lt;=$B$5,E15*$B$4/100,"")</f>
        <v>153783.94204039164</v>
      </c>
      <c r="D16" s="12">
        <f>IF(3&lt;=$B$5,B16-C16,"")</f>
        <v>160078.8787419936</v>
      </c>
      <c r="E16" s="12">
        <f>IF(3&lt;=$B$5,E15-D16,"")</f>
        <v>7529118.2232775884</v>
      </c>
    </row>
    <row r="17" spans="1:5" x14ac:dyDescent="0.2">
      <c r="A17" s="18">
        <f>IF(4&lt;=$B$5,4,"")</f>
        <v>4</v>
      </c>
      <c r="B17" s="12">
        <f>IF(4&lt;=$B$5,$B$7,"")</f>
        <v>313862.82078238524</v>
      </c>
      <c r="C17" s="12">
        <f>IF(4&lt;=$B$5,E16*$B$4/100,"")</f>
        <v>150582.36446555177</v>
      </c>
      <c r="D17" s="12">
        <f>IF(4&lt;=$B$5,B17-C17,"")</f>
        <v>163280.45631683347</v>
      </c>
      <c r="E17" s="12">
        <f>IF(4&lt;=$B$5,E16-D17,"")</f>
        <v>7365837.766960755</v>
      </c>
    </row>
    <row r="18" spans="1:5" x14ac:dyDescent="0.2">
      <c r="A18" s="18">
        <f>IF(5&lt;=$B$5,5,"")</f>
        <v>5</v>
      </c>
      <c r="B18" s="12">
        <f>IF(5&lt;=$B$5,$B$7,"")</f>
        <v>313862.82078238524</v>
      </c>
      <c r="C18" s="12">
        <f>IF(5&lt;=$B$5,E17*$B$4/100,"")</f>
        <v>147316.7553392151</v>
      </c>
      <c r="D18" s="12">
        <f>IF(5&lt;=$B$5,B18-C18,"")</f>
        <v>166546.06544317014</v>
      </c>
      <c r="E18" s="12">
        <f>IF(5&lt;=$B$5,E17-D18,"")</f>
        <v>7199291.7015175847</v>
      </c>
    </row>
    <row r="19" spans="1:5" x14ac:dyDescent="0.2">
      <c r="A19" s="18">
        <f>IF(6&lt;=$B$5,6,"")</f>
        <v>6</v>
      </c>
      <c r="B19" s="12">
        <f>IF(6&lt;=$B$5,$B$7,"")</f>
        <v>313862.82078238524</v>
      </c>
      <c r="C19" s="12">
        <f>IF(6&lt;=$B$5,E18*$B$4/100,"")</f>
        <v>143985.83403035169</v>
      </c>
      <c r="D19" s="12">
        <f>IF(6&lt;=$B$5,B19-C19,"")</f>
        <v>169876.98675203355</v>
      </c>
      <c r="E19" s="12">
        <f>IF(6&lt;=$B$5,E18-D19,"")</f>
        <v>7029414.7147655515</v>
      </c>
    </row>
    <row r="20" spans="1:5" x14ac:dyDescent="0.2">
      <c r="A20" s="18">
        <f>IF(7&lt;=$B$5,7,"")</f>
        <v>7</v>
      </c>
      <c r="B20" s="12">
        <f>IF(7&lt;=$B$5,$B$7,"")</f>
        <v>313862.82078238524</v>
      </c>
      <c r="C20" s="12">
        <f>IF(7&lt;=$B$5,E19*$B$4/100,"")</f>
        <v>140588.29429531103</v>
      </c>
      <c r="D20" s="12">
        <f>IF(7&lt;=$B$5,B20-C20,"")</f>
        <v>173274.52648707421</v>
      </c>
      <c r="E20" s="12">
        <f>IF(7&lt;=$B$5,E19-D20,"")</f>
        <v>6856140.1882784776</v>
      </c>
    </row>
    <row r="21" spans="1:5" x14ac:dyDescent="0.2">
      <c r="A21" s="18">
        <f>IF(8&lt;=$B$5,8,"")</f>
        <v>8</v>
      </c>
      <c r="B21" s="12">
        <f>IF(8&lt;=$B$5,$B$7,"")</f>
        <v>313862.82078238524</v>
      </c>
      <c r="C21" s="12">
        <f>IF(8&lt;=$B$5,E20*$B$4/100,"")</f>
        <v>137122.80376556955</v>
      </c>
      <c r="D21" s="12">
        <f>IF(8&lt;=$B$5,B21-C21,"")</f>
        <v>176740.01701681569</v>
      </c>
      <c r="E21" s="12">
        <f>IF(8&lt;=$B$5,E20-D21,"")</f>
        <v>6679400.1712616617</v>
      </c>
    </row>
    <row r="22" spans="1:5" x14ac:dyDescent="0.2">
      <c r="A22" s="18">
        <f>IF(9&lt;=$B$5,9,"")</f>
        <v>9</v>
      </c>
      <c r="B22" s="12">
        <f>IF(9&lt;=$B$5,$B$7,"")</f>
        <v>313862.82078238524</v>
      </c>
      <c r="C22" s="12">
        <f>IF(9&lt;=$B$5,E21*$B$4/100,"")</f>
        <v>133588.00342523324</v>
      </c>
      <c r="D22" s="12">
        <f>IF(9&lt;=$B$5,B22-C22,"")</f>
        <v>180274.817357152</v>
      </c>
      <c r="E22" s="12">
        <f>IF(9&lt;=$B$5,E21-D22,"")</f>
        <v>6499125.3539045099</v>
      </c>
    </row>
    <row r="23" spans="1:5" x14ac:dyDescent="0.2">
      <c r="A23" s="18">
        <f>IF(10&lt;=$B$5,10,"")</f>
        <v>10</v>
      </c>
      <c r="B23" s="12">
        <f>IF(10&lt;=$B$5,$B$7,"")</f>
        <v>313862.82078238524</v>
      </c>
      <c r="C23" s="12">
        <f>IF(10&lt;=$B$5,E22*$B$4/100,"")</f>
        <v>129982.5070780902</v>
      </c>
      <c r="D23" s="12">
        <f>IF(10&lt;=$B$5,B23-C23,"")</f>
        <v>183880.31370429503</v>
      </c>
      <c r="E23" s="12">
        <f>IF(10&lt;=$B$5,E22-D23,"")</f>
        <v>6315245.0402002148</v>
      </c>
    </row>
    <row r="24" spans="1:5" x14ac:dyDescent="0.2">
      <c r="A24" s="18">
        <f>IF(11&lt;=$B$5,11,"")</f>
        <v>11</v>
      </c>
      <c r="B24" s="12">
        <f>IF(11&lt;=$B$5,$B$7,"")</f>
        <v>313862.82078238524</v>
      </c>
      <c r="C24" s="12">
        <f>IF(11&lt;=$B$5,E23*$B$4/100,"")</f>
        <v>126304.9008040043</v>
      </c>
      <c r="D24" s="12">
        <f>IF(11&lt;=$B$5,B24-C24,"")</f>
        <v>187557.91997838096</v>
      </c>
      <c r="E24" s="12">
        <f>IF(11&lt;=$B$5,E23-D24,"")</f>
        <v>6127687.1202218337</v>
      </c>
    </row>
    <row r="25" spans="1:5" x14ac:dyDescent="0.2">
      <c r="A25" s="18">
        <f>IF(12&lt;=$B$5,12,"")</f>
        <v>12</v>
      </c>
      <c r="B25" s="12">
        <f>IF(12&lt;=$B$5,$B$7,"")</f>
        <v>313862.82078238524</v>
      </c>
      <c r="C25" s="12">
        <f>IF(12&lt;=$B$5,E24*$B$4/100,"")</f>
        <v>122553.74240443668</v>
      </c>
      <c r="D25" s="12">
        <f>IF(12&lt;=$B$5,B25-C25,"")</f>
        <v>191309.07837794855</v>
      </c>
      <c r="E25" s="12">
        <f>IF(12&lt;=$B$5,E24-D25,"")</f>
        <v>5936378.0418438856</v>
      </c>
    </row>
    <row r="26" spans="1:5" x14ac:dyDescent="0.2">
      <c r="A26" s="18">
        <f>IF(13&lt;=$B$5,13,"")</f>
        <v>13</v>
      </c>
      <c r="B26" s="12">
        <f>IF(13&lt;=$B$5,$B$7,"")</f>
        <v>313862.82078238524</v>
      </c>
      <c r="C26" s="12">
        <f>IF(13&lt;=$B$5,E25*$B$4/100,"")</f>
        <v>118727.56083687772</v>
      </c>
      <c r="D26" s="12">
        <f>IF(13&lt;=$B$5,B26-C26,"")</f>
        <v>195135.25994550751</v>
      </c>
      <c r="E26" s="12">
        <f>IF(13&lt;=$B$5,E25-D26,"")</f>
        <v>5741242.7818983784</v>
      </c>
    </row>
    <row r="27" spans="1:5" x14ac:dyDescent="0.2">
      <c r="A27" s="18">
        <f>IF(14&lt;=$B$5,14,"")</f>
        <v>14</v>
      </c>
      <c r="B27" s="12">
        <f>IF(14&lt;=$B$5,$B$7,"")</f>
        <v>313862.82078238524</v>
      </c>
      <c r="C27" s="12">
        <f>IF(14&lt;=$B$5,E26*$B$4/100,"")</f>
        <v>114824.85563796757</v>
      </c>
      <c r="D27" s="12">
        <f>IF(14&lt;=$B$5,B27-C27,"")</f>
        <v>199037.96514441766</v>
      </c>
      <c r="E27" s="12">
        <f>IF(14&lt;=$B$5,E26-D27,"")</f>
        <v>5542204.8167539611</v>
      </c>
    </row>
    <row r="28" spans="1:5" x14ac:dyDescent="0.2">
      <c r="A28" s="18">
        <f>IF(15&lt;=$B$5,15,"")</f>
        <v>15</v>
      </c>
      <c r="B28" s="12">
        <f>IF(15&lt;=$B$5,$B$7,"")</f>
        <v>313862.82078238524</v>
      </c>
      <c r="C28" s="12">
        <f>IF(15&lt;=$B$5,E27*$B$4/100,"")</f>
        <v>110844.09633507923</v>
      </c>
      <c r="D28" s="12">
        <f>IF(15&lt;=$B$5,B28-C28,"")</f>
        <v>203018.72444730601</v>
      </c>
      <c r="E28" s="12">
        <f>IF(15&lt;=$B$5,E27-D28,"")</f>
        <v>5339186.0923066549</v>
      </c>
    </row>
    <row r="29" spans="1:5" x14ac:dyDescent="0.2">
      <c r="A29" s="18">
        <f>IF(16&lt;=$B$5,16,"")</f>
        <v>16</v>
      </c>
      <c r="B29" s="12">
        <f>IF(16&lt;=$B$5,$B$7,"")</f>
        <v>313862.82078238524</v>
      </c>
      <c r="C29" s="12">
        <f>IF(16&lt;=$B$5,E28*$B$4/100,"")</f>
        <v>106783.72184613309</v>
      </c>
      <c r="D29" s="12">
        <f>IF(16&lt;=$B$5,B29-C29,"")</f>
        <v>207079.09893625215</v>
      </c>
      <c r="E29" s="12">
        <f>IF(16&lt;=$B$5,E28-D29,"")</f>
        <v>5132106.9933704026</v>
      </c>
    </row>
    <row r="30" spans="1:5" x14ac:dyDescent="0.2">
      <c r="A30" s="18">
        <f>IF(17&lt;=$B$5,17,"")</f>
        <v>17</v>
      </c>
      <c r="B30" s="12">
        <f>IF(17&lt;=$B$5,$B$7,"")</f>
        <v>313862.82078238524</v>
      </c>
      <c r="C30" s="12">
        <f>IF(17&lt;=$B$5,E29*$B$4/100,"")</f>
        <v>102642.13986740806</v>
      </c>
      <c r="D30" s="12">
        <f>IF(17&lt;=$B$5,B30-C30,"")</f>
        <v>211220.68091497719</v>
      </c>
      <c r="E30" s="12">
        <f>IF(17&lt;=$B$5,E29-D30,"")</f>
        <v>4920886.312455425</v>
      </c>
    </row>
    <row r="31" spans="1:5" x14ac:dyDescent="0.2">
      <c r="A31" s="18">
        <f>IF(18&lt;=$B$5,18,"")</f>
        <v>18</v>
      </c>
      <c r="B31" s="12">
        <f>IF(18&lt;=$B$5,$B$7,"")</f>
        <v>313862.82078238524</v>
      </c>
      <c r="C31" s="12">
        <f>IF(18&lt;=$B$5,E30*$B$4/100,"")</f>
        <v>98417.726249108498</v>
      </c>
      <c r="D31" s="12">
        <f>IF(18&lt;=$B$5,B31-C31,"")</f>
        <v>215445.09453327674</v>
      </c>
      <c r="E31" s="12">
        <f>IF(18&lt;=$B$5,E30-D31,"")</f>
        <v>4705441.2179221483</v>
      </c>
    </row>
    <row r="32" spans="1:5" x14ac:dyDescent="0.2">
      <c r="A32" s="18">
        <f>IF(19&lt;=$B$5,19,"")</f>
        <v>19</v>
      </c>
      <c r="B32" s="12">
        <f>IF(19&lt;=$B$5,$B$7,"")</f>
        <v>313862.82078238524</v>
      </c>
      <c r="C32" s="12">
        <f>IF(19&lt;=$B$5,E31*$B$4/100,"")</f>
        <v>94108.824358442973</v>
      </c>
      <c r="D32" s="12">
        <f>IF(19&lt;=$B$5,B32-C32,"")</f>
        <v>219753.99642394227</v>
      </c>
      <c r="E32" s="12">
        <f>IF(19&lt;=$B$5,E31-D32,"")</f>
        <v>4485687.2214982063</v>
      </c>
    </row>
    <row r="33" spans="1:5" x14ac:dyDescent="0.2">
      <c r="A33" s="18">
        <f>IF(20&lt;=$B$5,20,"")</f>
        <v>20</v>
      </c>
      <c r="B33" s="12">
        <f>IF(20&lt;=$B$5,$B$7,"")</f>
        <v>313862.82078238524</v>
      </c>
      <c r="C33" s="12">
        <f>IF(20&lt;=$B$5,E32*$B$4/100,"")</f>
        <v>89713.744429964121</v>
      </c>
      <c r="D33" s="12">
        <f>IF(20&lt;=$B$5,B33-C33,"")</f>
        <v>224149.07635242114</v>
      </c>
      <c r="E33" s="12">
        <f>IF(20&lt;=$B$5,E32-D33,"")</f>
        <v>4261538.1451457851</v>
      </c>
    </row>
    <row r="34" spans="1:5" x14ac:dyDescent="0.2">
      <c r="A34" s="18">
        <f>IF(21&lt;=$B$5,21,"")</f>
        <v>21</v>
      </c>
      <c r="B34" s="12">
        <f>IF(21&lt;=$B$5,$B$7,"")</f>
        <v>313862.82078238524</v>
      </c>
      <c r="C34" s="12">
        <f>IF(21&lt;=$B$5,E33*$B$4/100,"")</f>
        <v>85230.762902915696</v>
      </c>
      <c r="D34" s="12">
        <f>IF(21&lt;=$B$5,B34-C34,"")</f>
        <v>228632.05787946953</v>
      </c>
      <c r="E34" s="12">
        <f>IF(21&lt;=$B$5,E33-D34,"")</f>
        <v>4032906.0872663157</v>
      </c>
    </row>
    <row r="35" spans="1:5" x14ac:dyDescent="0.2">
      <c r="A35" s="18">
        <f>IF(22&lt;=$B$5,22,"")</f>
        <v>22</v>
      </c>
      <c r="B35" s="12">
        <f>IF(22&lt;=$B$5,$B$7,"")</f>
        <v>313862.82078238524</v>
      </c>
      <c r="C35" s="12">
        <f>IF(22&lt;=$B$5,E34*$B$4/100,"")</f>
        <v>80658.121745326309</v>
      </c>
      <c r="D35" s="12">
        <f>IF(22&lt;=$B$5,B35-C35,"")</f>
        <v>233204.69903705892</v>
      </c>
      <c r="E35" s="12">
        <f>IF(22&lt;=$B$5,E34-D35,"")</f>
        <v>3799701.388229257</v>
      </c>
    </row>
    <row r="36" spans="1:5" x14ac:dyDescent="0.2">
      <c r="A36" s="18">
        <f>IF(23&lt;=$B$5,23,"")</f>
        <v>23</v>
      </c>
      <c r="B36" s="12">
        <f>IF(23&lt;=$B$5,$B$7,"")</f>
        <v>313862.82078238524</v>
      </c>
      <c r="C36" s="12">
        <f>IF(23&lt;=$B$5,E35*$B$4/100,"")</f>
        <v>75994.027764585146</v>
      </c>
      <c r="D36" s="12">
        <f>IF(23&lt;=$B$5,B36-C36,"")</f>
        <v>237868.79301780008</v>
      </c>
      <c r="E36" s="12">
        <f>IF(23&lt;=$B$5,E35-D36,"")</f>
        <v>3561832.595211457</v>
      </c>
    </row>
    <row r="37" spans="1:5" x14ac:dyDescent="0.2">
      <c r="A37" s="18">
        <f>IF(24&lt;=$B$5,24,"")</f>
        <v>24</v>
      </c>
      <c r="B37" s="12">
        <f>IF(24&lt;=$B$5,$B$7,"")</f>
        <v>313862.82078238524</v>
      </c>
      <c r="C37" s="12">
        <f>IF(24&lt;=$B$5,E36*$B$4/100,"")</f>
        <v>71236.651904229133</v>
      </c>
      <c r="D37" s="12">
        <f>IF(24&lt;=$B$5,B37-C37,"")</f>
        <v>242626.16887815611</v>
      </c>
      <c r="E37" s="12">
        <f>IF(24&lt;=$B$5,E36-D37,"")</f>
        <v>3319206.4263333008</v>
      </c>
    </row>
    <row r="38" spans="1:5" x14ac:dyDescent="0.2">
      <c r="A38" s="18">
        <f>IF(25&lt;=$B$5,25,"")</f>
        <v>25</v>
      </c>
      <c r="B38" s="12">
        <f>IF(25&lt;=$B$5,$B$7,"")</f>
        <v>313862.82078238524</v>
      </c>
      <c r="C38" s="12">
        <f>IF(25&lt;=$B$5,E37*$B$4/100,"")</f>
        <v>66384.128526666012</v>
      </c>
      <c r="D38" s="12">
        <f>IF(25&lt;=$B$5,B38-C38,"")</f>
        <v>247478.69225571922</v>
      </c>
      <c r="E38" s="12">
        <f>IF(25&lt;=$B$5,E37-D38,"")</f>
        <v>3071727.7340775817</v>
      </c>
    </row>
    <row r="39" spans="1:5" x14ac:dyDescent="0.2">
      <c r="A39" s="18">
        <f>IF(26&lt;=$B$5,26,"")</f>
        <v>26</v>
      </c>
      <c r="B39" s="12">
        <f>IF(26&lt;=$B$5,$B$7,"")</f>
        <v>313862.82078238524</v>
      </c>
      <c r="C39" s="12">
        <f>IF(26&lt;=$B$5,E38*$B$4/100,"")</f>
        <v>61434.554681551635</v>
      </c>
      <c r="D39" s="12">
        <f>IF(26&lt;=$B$5,B39-C39,"")</f>
        <v>252428.2661008336</v>
      </c>
      <c r="E39" s="12">
        <f>IF(26&lt;=$B$5,E38-D39,"")</f>
        <v>2819299.467976748</v>
      </c>
    </row>
    <row r="40" spans="1:5" x14ac:dyDescent="0.2">
      <c r="A40" s="18">
        <f>IF(27&lt;=$B$5,27,"")</f>
        <v>27</v>
      </c>
      <c r="B40" s="12">
        <f>IF(27&lt;=$B$5,$B$7,"")</f>
        <v>313862.82078238524</v>
      </c>
      <c r="C40" s="12">
        <f>IF(27&lt;=$B$5,E39*$B$4/100,"")</f>
        <v>56385.989359534957</v>
      </c>
      <c r="D40" s="12">
        <f>IF(27&lt;=$B$5,B40-C40,"")</f>
        <v>257476.83142285029</v>
      </c>
      <c r="E40" s="12">
        <f>IF(27&lt;=$B$5,E39-D40,"")</f>
        <v>2561822.6365538975</v>
      </c>
    </row>
    <row r="41" spans="1:5" x14ac:dyDescent="0.2">
      <c r="A41" s="18">
        <f>IF(28&lt;=$B$5,28,"")</f>
        <v>28</v>
      </c>
      <c r="B41" s="12">
        <f>IF(28&lt;=$B$5,$B$7,"")</f>
        <v>313862.82078238524</v>
      </c>
      <c r="C41" s="12">
        <f>IF(28&lt;=$B$5,E40*$B$4/100,"")</f>
        <v>51236.452731077952</v>
      </c>
      <c r="D41" s="12">
        <f>IF(28&lt;=$B$5,B41-C41,"")</f>
        <v>262626.36805130728</v>
      </c>
      <c r="E41" s="12">
        <f>IF(28&lt;=$B$5,E40-D41,"")</f>
        <v>2299196.2685025902</v>
      </c>
    </row>
    <row r="42" spans="1:5" x14ac:dyDescent="0.2">
      <c r="A42" s="18">
        <f>IF(29&lt;=$B$5,29,"")</f>
        <v>29</v>
      </c>
      <c r="B42" s="12">
        <f>IF(29&lt;=$B$5,$B$7,"")</f>
        <v>313862.82078238524</v>
      </c>
      <c r="C42" s="12">
        <f>IF(29&lt;=$B$5,E41*$B$4/100,"")</f>
        <v>45983.925370051802</v>
      </c>
      <c r="D42" s="12">
        <f>IF(29&lt;=$B$5,B42-C42,"")</f>
        <v>267878.89541233343</v>
      </c>
      <c r="E42" s="12">
        <f>IF(29&lt;=$B$5,E41-D42,"")</f>
        <v>2031317.3730902569</v>
      </c>
    </row>
    <row r="43" spans="1:5" x14ac:dyDescent="0.2">
      <c r="A43" s="18">
        <f>IF(30&lt;=$B$5,30,"")</f>
        <v>30</v>
      </c>
      <c r="B43" s="12">
        <f>IF(30&lt;=$B$5,$B$7,"")</f>
        <v>313862.82078238524</v>
      </c>
      <c r="C43" s="12">
        <f>IF(30&lt;=$B$5,E42*$B$4/100,"")</f>
        <v>40626.34746180514</v>
      </c>
      <c r="D43" s="12">
        <f>IF(30&lt;=$B$5,B43-C43,"")</f>
        <v>273236.47332058009</v>
      </c>
      <c r="E43" s="12">
        <f>IF(30&lt;=$B$5,E42-D43,"")</f>
        <v>1758080.8997696768</v>
      </c>
    </row>
    <row r="44" spans="1:5" x14ac:dyDescent="0.2">
      <c r="A44" s="18">
        <f>IF(31&lt;=$B$5,31,"")</f>
        <v>31</v>
      </c>
      <c r="B44" s="12">
        <f>IF(31&lt;=$B$5,$B$7,"")</f>
        <v>313862.82078238524</v>
      </c>
      <c r="C44" s="12">
        <f>IF(31&lt;=$B$5,E43*$B$4/100,"")</f>
        <v>35161.617995393535</v>
      </c>
      <c r="D44" s="12">
        <f>IF(31&lt;=$B$5,B44-C44,"")</f>
        <v>278701.20278699172</v>
      </c>
      <c r="E44" s="12">
        <f>IF(31&lt;=$B$5,E43-D44,"")</f>
        <v>1479379.696982685</v>
      </c>
    </row>
    <row r="45" spans="1:5" x14ac:dyDescent="0.2">
      <c r="A45" s="18">
        <f>IF(32&lt;=$B$5,32,"")</f>
        <v>32</v>
      </c>
      <c r="B45" s="12">
        <f>IF(32&lt;=$B$5,$B$7,"")</f>
        <v>313862.82078238524</v>
      </c>
      <c r="C45" s="12">
        <f>IF(32&lt;=$B$5,E44*$B$4/100,"")</f>
        <v>29587.5939396537</v>
      </c>
      <c r="D45" s="12">
        <f>IF(32&lt;=$B$5,B45-C45,"")</f>
        <v>284275.22684273153</v>
      </c>
      <c r="E45" s="12">
        <f>IF(32&lt;=$B$5,E44-D45,"")</f>
        <v>1195104.4701399535</v>
      </c>
    </row>
    <row r="46" spans="1:5" x14ac:dyDescent="0.2">
      <c r="A46" s="18">
        <f>IF(33&lt;=$B$5,33,"")</f>
        <v>33</v>
      </c>
      <c r="B46" s="12">
        <f>IF(33&lt;=$B$5,$B$7,"")</f>
        <v>313862.82078238524</v>
      </c>
      <c r="C46" s="12">
        <f>IF(33&lt;=$B$5,E45*$B$4/100,"")</f>
        <v>23902.089402799073</v>
      </c>
      <c r="D46" s="12">
        <f>IF(33&lt;=$B$5,B46-C46,"")</f>
        <v>289960.73137958616</v>
      </c>
      <c r="E46" s="12">
        <f>IF(33&lt;=$B$5,E45-D46,"")</f>
        <v>905143.73876036739</v>
      </c>
    </row>
    <row r="47" spans="1:5" x14ac:dyDescent="0.2">
      <c r="A47" s="18">
        <f>IF(34&lt;=$B$5,34,"")</f>
        <v>34</v>
      </c>
      <c r="B47" s="12">
        <f>IF(34&lt;=$B$5,$B$7,"")</f>
        <v>313862.82078238524</v>
      </c>
      <c r="C47" s="12">
        <f>IF(34&lt;=$B$5,E46*$B$4/100,"")</f>
        <v>18102.874775207347</v>
      </c>
      <c r="D47" s="12">
        <f>IF(34&lt;=$B$5,B47-C47,"")</f>
        <v>295759.94600717787</v>
      </c>
      <c r="E47" s="12">
        <f>IF(34&lt;=$B$5,E46-D47,"")</f>
        <v>609383.79275318957</v>
      </c>
    </row>
    <row r="48" spans="1:5" x14ac:dyDescent="0.2">
      <c r="A48" s="18">
        <f>IF(35&lt;=$B$5,35,"")</f>
        <v>35</v>
      </c>
      <c r="B48" s="12">
        <f>IF(35&lt;=$B$5,$B$7,"")</f>
        <v>313862.82078238524</v>
      </c>
      <c r="C48" s="12">
        <f>IF(35&lt;=$B$5,E47*$B$4/100,"")</f>
        <v>12187.675855063791</v>
      </c>
      <c r="D48" s="12">
        <f>IF(35&lt;=$B$5,B48-C48,"")</f>
        <v>301675.14492732147</v>
      </c>
      <c r="E48" s="12">
        <f>IF(35&lt;=$B$5,E47-D48,"")</f>
        <v>307708.6478258681</v>
      </c>
    </row>
    <row r="49" spans="1:5" x14ac:dyDescent="0.2">
      <c r="A49" s="18">
        <f>IF(36&lt;=$B$5,36,"")</f>
        <v>36</v>
      </c>
      <c r="B49" s="12">
        <f>IF(36&lt;=$B$5,$B$7,"")</f>
        <v>313862.82078238524</v>
      </c>
      <c r="C49" s="12">
        <f>IF(36&lt;=$B$5,E48*$B$4/100,"")</f>
        <v>6154.1729565173619</v>
      </c>
      <c r="D49" s="12">
        <f>IF(36&lt;=$B$5,B49-C49,"")</f>
        <v>307708.64782586787</v>
      </c>
      <c r="E49" s="12">
        <f>IF(36&lt;=$B$5,E48-D49,"")</f>
        <v>2.3283064365386963E-10</v>
      </c>
    </row>
    <row r="50" spans="1:5" x14ac:dyDescent="0.2">
      <c r="A50" s="18" t="str">
        <f>IF(37&lt;=$B$5,37,"")</f>
        <v/>
      </c>
      <c r="B50" s="12" t="str">
        <f>IF(37&lt;=$B$5,$B$7,"")</f>
        <v/>
      </c>
      <c r="C50" s="12" t="str">
        <f>IF(37&lt;=$B$5,E49*$B$4/100,"")</f>
        <v/>
      </c>
      <c r="D50" s="12" t="str">
        <f>IF(37&lt;=$B$5,B50-C50,"")</f>
        <v/>
      </c>
      <c r="E50" s="12" t="str">
        <f>IF(37&lt;=$B$5,E49-D50,"")</f>
        <v/>
      </c>
    </row>
    <row r="51" spans="1:5" x14ac:dyDescent="0.2">
      <c r="A51" s="18" t="str">
        <f>IF(38&lt;=$B$5,38,"")</f>
        <v/>
      </c>
      <c r="B51" s="12" t="str">
        <f>IF(38&lt;=$B$5,$B$7,"")</f>
        <v/>
      </c>
      <c r="C51" s="12" t="str">
        <f>IF(38&lt;=$B$5,E50*$B$4/100,"")</f>
        <v/>
      </c>
      <c r="D51" s="12" t="str">
        <f>IF(38&lt;=$B$5,B51-C51,"")</f>
        <v/>
      </c>
      <c r="E51" s="12" t="str">
        <f>IF(38&lt;=$B$5,E50-D51,"")</f>
        <v/>
      </c>
    </row>
    <row r="52" spans="1:5" x14ac:dyDescent="0.2">
      <c r="A52" s="18" t="str">
        <f>IF(39&lt;=$B$5,39,"")</f>
        <v/>
      </c>
      <c r="B52" s="12" t="str">
        <f>IF(39&lt;=$B$5,$B$7,"")</f>
        <v/>
      </c>
      <c r="C52" s="12" t="str">
        <f>IF(39&lt;=$B$5,E51*$B$4/100,"")</f>
        <v/>
      </c>
      <c r="D52" s="12" t="str">
        <f>IF(39&lt;=$B$5,B52-C52,"")</f>
        <v/>
      </c>
      <c r="E52" s="12" t="str">
        <f>IF(39&lt;=$B$5,E51-D52,"")</f>
        <v/>
      </c>
    </row>
    <row r="53" spans="1:5" x14ac:dyDescent="0.2">
      <c r="A53" s="18" t="str">
        <f>IF(40&lt;=$B$5,40,"")</f>
        <v/>
      </c>
      <c r="B53" s="12" t="str">
        <f>IF(40&lt;=$B$5,$B$7,"")</f>
        <v/>
      </c>
      <c r="C53" s="12" t="str">
        <f>IF(40&lt;=$B$5,E52*$B$4/100,"")</f>
        <v/>
      </c>
      <c r="D53" s="12" t="str">
        <f>IF(40&lt;=$B$5,B53-C53,"")</f>
        <v/>
      </c>
      <c r="E53" s="12" t="str">
        <f>IF(40&lt;=$B$5,E52-D53,"")</f>
        <v/>
      </c>
    </row>
    <row r="54" spans="1:5" x14ac:dyDescent="0.2">
      <c r="A54" s="18" t="str">
        <f>IF(41&lt;=$B$5,41,"")</f>
        <v/>
      </c>
      <c r="B54" s="12" t="str">
        <f>IF(41&lt;=$B$5,$B$7,"")</f>
        <v/>
      </c>
      <c r="C54" s="12" t="str">
        <f>IF(41&lt;=$B$5,E53*$B$4/100,"")</f>
        <v/>
      </c>
      <c r="D54" s="12" t="str">
        <f>IF(41&lt;=$B$5,B54-C54,"")</f>
        <v/>
      </c>
      <c r="E54" s="12" t="str">
        <f>IF(41&lt;=$B$5,E53-D54,"")</f>
        <v/>
      </c>
    </row>
    <row r="55" spans="1:5" x14ac:dyDescent="0.2">
      <c r="A55" s="18" t="str">
        <f>IF(42&lt;=$B$5,42,"")</f>
        <v/>
      </c>
      <c r="B55" s="12" t="str">
        <f>IF(42&lt;=$B$5,$B$7,"")</f>
        <v/>
      </c>
      <c r="C55" s="12" t="str">
        <f>IF(42&lt;=$B$5,E54*$B$4/100,"")</f>
        <v/>
      </c>
      <c r="D55" s="12" t="str">
        <f>IF(42&lt;=$B$5,B55-C55,"")</f>
        <v/>
      </c>
      <c r="E55" s="12" t="str">
        <f>IF(42&lt;=$B$5,E54-D55,"")</f>
        <v/>
      </c>
    </row>
    <row r="56" spans="1:5" x14ac:dyDescent="0.2">
      <c r="A56" s="18" t="str">
        <f>IF(43&lt;=$B$5,43,"")</f>
        <v/>
      </c>
      <c r="B56" s="12" t="str">
        <f>IF(43&lt;=$B$5,$B$7,"")</f>
        <v/>
      </c>
      <c r="C56" s="12" t="str">
        <f>IF(43&lt;=$B$5,E55*$B$4/100,"")</f>
        <v/>
      </c>
      <c r="D56" s="12" t="str">
        <f>IF(43&lt;=$B$5,B56-C56,"")</f>
        <v/>
      </c>
      <c r="E56" s="12" t="str">
        <f>IF(43&lt;=$B$5,E55-D56,"")</f>
        <v/>
      </c>
    </row>
    <row r="57" spans="1:5" x14ac:dyDescent="0.2">
      <c r="A57" s="18" t="str">
        <f>IF(44&lt;=$B$5,44,"")</f>
        <v/>
      </c>
      <c r="B57" s="12" t="str">
        <f>IF(44&lt;=$B$5,$B$7,"")</f>
        <v/>
      </c>
      <c r="C57" s="12" t="str">
        <f>IF(44&lt;=$B$5,E56*$B$4/100,"")</f>
        <v/>
      </c>
      <c r="D57" s="12" t="str">
        <f>IF(44&lt;=$B$5,B57-C57,"")</f>
        <v/>
      </c>
      <c r="E57" s="12" t="str">
        <f>IF(44&lt;=$B$5,E56-D57,"")</f>
        <v/>
      </c>
    </row>
    <row r="58" spans="1:5" x14ac:dyDescent="0.2">
      <c r="A58" s="18" t="str">
        <f>IF(45&lt;=$B$5,45,"")</f>
        <v/>
      </c>
      <c r="B58" s="12" t="str">
        <f>IF(45&lt;=$B$5,$B$7,"")</f>
        <v/>
      </c>
      <c r="C58" s="12" t="str">
        <f>IF(45&lt;=$B$5,E57*$B$4/100,"")</f>
        <v/>
      </c>
      <c r="D58" s="12" t="str">
        <f>IF(45&lt;=$B$5,B58-C58,"")</f>
        <v/>
      </c>
      <c r="E58" s="12" t="str">
        <f>IF(45&lt;=$B$5,E57-D58,"")</f>
        <v/>
      </c>
    </row>
    <row r="59" spans="1:5" x14ac:dyDescent="0.2">
      <c r="A59" s="18" t="str">
        <f>IF(46&lt;=$B$5,46,"")</f>
        <v/>
      </c>
      <c r="B59" s="12" t="str">
        <f>IF(46&lt;=$B$5,$B$7,"")</f>
        <v/>
      </c>
      <c r="C59" s="12" t="str">
        <f>IF(46&lt;=$B$5,E58*$B$4/100,"")</f>
        <v/>
      </c>
      <c r="D59" s="12" t="str">
        <f>IF(46&lt;=$B$5,B59-C59,"")</f>
        <v/>
      </c>
      <c r="E59" s="12" t="str">
        <f>IF(46&lt;=$B$5,E58-D59,"")</f>
        <v/>
      </c>
    </row>
    <row r="60" spans="1:5" x14ac:dyDescent="0.2">
      <c r="A60" s="18" t="str">
        <f>IF(47&lt;=$B$5,47,"")</f>
        <v/>
      </c>
      <c r="B60" s="12" t="str">
        <f>IF(47&lt;=$B$5,$B$7,"")</f>
        <v/>
      </c>
      <c r="C60" s="12" t="str">
        <f>IF(47&lt;=$B$5,E59*$B$4/100,"")</f>
        <v/>
      </c>
      <c r="D60" s="12" t="str">
        <f>IF(47&lt;=$B$5,B60-C60,"")</f>
        <v/>
      </c>
      <c r="E60" s="12" t="str">
        <f>IF(47&lt;=$B$5,E59-D60,"")</f>
        <v/>
      </c>
    </row>
    <row r="61" spans="1:5" x14ac:dyDescent="0.2">
      <c r="A61" s="18" t="str">
        <f>IF(48&lt;=$B$5,48,"")</f>
        <v/>
      </c>
      <c r="B61" s="12" t="str">
        <f>IF(48&lt;=$B$5,$B$7,"")</f>
        <v/>
      </c>
      <c r="C61" s="12" t="str">
        <f>IF(48&lt;=$B$5,E60*$B$4/100,"")</f>
        <v/>
      </c>
      <c r="D61" s="12" t="str">
        <f>IF(48&lt;=$B$5,B61-C61,"")</f>
        <v/>
      </c>
      <c r="E61" s="12" t="str">
        <f>IF(48&lt;=$B$5,E60-D61,"")</f>
        <v/>
      </c>
    </row>
    <row r="62" spans="1:5" x14ac:dyDescent="0.2">
      <c r="A62" s="18" t="str">
        <f>IF(49&lt;=$B$5,49,"")</f>
        <v/>
      </c>
      <c r="B62" s="12" t="str">
        <f>IF(49&lt;=$B$5,$B$7,"")</f>
        <v/>
      </c>
      <c r="C62" s="12" t="str">
        <f>IF(49&lt;=$B$5,E61*$B$4/100,"")</f>
        <v/>
      </c>
      <c r="D62" s="12" t="str">
        <f>IF(49&lt;=$B$5,B62-C62,"")</f>
        <v/>
      </c>
      <c r="E62" s="12" t="str">
        <f>IF(49&lt;=$B$5,E61-D62,"")</f>
        <v/>
      </c>
    </row>
    <row r="63" spans="1:5" x14ac:dyDescent="0.2">
      <c r="A63" s="18" t="str">
        <f>IF(50&lt;=$B$5,50,"")</f>
        <v/>
      </c>
      <c r="B63" s="12" t="str">
        <f>IF(50&lt;=$B$5,$B$7,"")</f>
        <v/>
      </c>
      <c r="C63" s="12" t="str">
        <f>IF(50&lt;=$B$5,E62*$B$4/100,"")</f>
        <v/>
      </c>
      <c r="D63" s="12" t="str">
        <f>IF(50&lt;=$B$5,B63-C63,"")</f>
        <v/>
      </c>
      <c r="E63" s="12" t="str">
        <f>IF(50&lt;=$B$5,E62-D63,"")</f>
        <v/>
      </c>
    </row>
    <row r="64" spans="1:5" x14ac:dyDescent="0.2">
      <c r="A64" s="18" t="str">
        <f>IF(51&lt;=$B$5,51,"")</f>
        <v/>
      </c>
      <c r="B64" s="12" t="str">
        <f>IF(51&lt;=$B$5,$B$7,"")</f>
        <v/>
      </c>
      <c r="C64" s="12" t="str">
        <f>IF(51&lt;=$B$5,E63*$B$4/100,"")</f>
        <v/>
      </c>
      <c r="D64" s="12" t="str">
        <f>IF(51&lt;=$B$5,B64-C64,"")</f>
        <v/>
      </c>
      <c r="E64" s="12" t="str">
        <f>IF(51&lt;=$B$5,E63-D64,"")</f>
        <v/>
      </c>
    </row>
    <row r="65" spans="1:5" x14ac:dyDescent="0.2">
      <c r="A65" s="18" t="str">
        <f>IF(52&lt;=$B$5,52,"")</f>
        <v/>
      </c>
      <c r="B65" s="12" t="str">
        <f>IF(52&lt;=$B$5,$B$7,"")</f>
        <v/>
      </c>
      <c r="C65" s="12" t="str">
        <f>IF(52&lt;=$B$5,E64*$B$4/100,"")</f>
        <v/>
      </c>
      <c r="D65" s="12" t="str">
        <f>IF(52&lt;=$B$5,B65-C65,"")</f>
        <v/>
      </c>
      <c r="E65" s="12" t="str">
        <f>IF(52&lt;=$B$5,E64-D65,"")</f>
        <v/>
      </c>
    </row>
    <row r="66" spans="1:5" x14ac:dyDescent="0.2">
      <c r="A66" s="18" t="str">
        <f>IF(53&lt;=$B$5,53,"")</f>
        <v/>
      </c>
      <c r="B66" s="12" t="str">
        <f>IF(53&lt;=$B$5,$B$7,"")</f>
        <v/>
      </c>
      <c r="C66" s="12" t="str">
        <f>IF(53&lt;=$B$5,E65*$B$4/100,"")</f>
        <v/>
      </c>
      <c r="D66" s="12" t="str">
        <f>IF(53&lt;=$B$5,B66-C66,"")</f>
        <v/>
      </c>
      <c r="E66" s="12" t="str">
        <f>IF(53&lt;=$B$5,E65-D66,"")</f>
        <v/>
      </c>
    </row>
    <row r="67" spans="1:5" x14ac:dyDescent="0.2">
      <c r="A67" s="18" t="str">
        <f>IF(54&lt;=$B$5,54,"")</f>
        <v/>
      </c>
      <c r="B67" s="12" t="str">
        <f>IF(54&lt;=$B$5,$B$7,"")</f>
        <v/>
      </c>
      <c r="C67" s="12" t="str">
        <f>IF(54&lt;=$B$5,E66*$B$4/100,"")</f>
        <v/>
      </c>
      <c r="D67" s="12" t="str">
        <f>IF(54&lt;=$B$5,B67-C67,"")</f>
        <v/>
      </c>
      <c r="E67" s="12" t="str">
        <f>IF(54&lt;=$B$5,E66-D67,"")</f>
        <v/>
      </c>
    </row>
    <row r="68" spans="1:5" x14ac:dyDescent="0.2">
      <c r="A68" s="18" t="str">
        <f>IF(55&lt;=$B$5,55,"")</f>
        <v/>
      </c>
      <c r="B68" s="12" t="str">
        <f>IF(55&lt;=$B$5,$B$7,"")</f>
        <v/>
      </c>
      <c r="C68" s="12" t="str">
        <f>IF(55&lt;=$B$5,E67*$B$4/100,"")</f>
        <v/>
      </c>
      <c r="D68" s="12" t="str">
        <f>IF(55&lt;=$B$5,B68-C68,"")</f>
        <v/>
      </c>
      <c r="E68" s="12" t="str">
        <f>IF(55&lt;=$B$5,E67-D68,"")</f>
        <v/>
      </c>
    </row>
    <row r="69" spans="1:5" x14ac:dyDescent="0.2">
      <c r="A69" s="18" t="str">
        <f>IF(56&lt;=$B$5,56,"")</f>
        <v/>
      </c>
      <c r="B69" s="12" t="str">
        <f>IF(56&lt;=$B$5,$B$7,"")</f>
        <v/>
      </c>
      <c r="C69" s="12" t="str">
        <f>IF(56&lt;=$B$5,E68*$B$4/100,"")</f>
        <v/>
      </c>
      <c r="D69" s="12" t="str">
        <f>IF(56&lt;=$B$5,B69-C69,"")</f>
        <v/>
      </c>
      <c r="E69" s="12" t="str">
        <f>IF(56&lt;=$B$5,E68-D69,"")</f>
        <v/>
      </c>
    </row>
    <row r="70" spans="1:5" x14ac:dyDescent="0.2">
      <c r="A70" s="18" t="str">
        <f>IF(57&lt;=$B$5,57,"")</f>
        <v/>
      </c>
      <c r="B70" s="12" t="str">
        <f>IF(57&lt;=$B$5,$B$7,"")</f>
        <v/>
      </c>
      <c r="C70" s="12" t="str">
        <f>IF(57&lt;=$B$5,E69*$B$4/100,"")</f>
        <v/>
      </c>
      <c r="D70" s="12" t="str">
        <f>IF(57&lt;=$B$5,B70-C70,"")</f>
        <v/>
      </c>
      <c r="E70" s="12" t="str">
        <f>IF(57&lt;=$B$5,E69-D70,"")</f>
        <v/>
      </c>
    </row>
    <row r="71" spans="1:5" x14ac:dyDescent="0.2">
      <c r="A71" s="18" t="str">
        <f>IF(58&lt;=$B$5,58,"")</f>
        <v/>
      </c>
      <c r="B71" s="12" t="str">
        <f>IF(58&lt;=$B$5,$B$7,"")</f>
        <v/>
      </c>
      <c r="C71" s="12" t="str">
        <f>IF(58&lt;=$B$5,E70*$B$4/100,"")</f>
        <v/>
      </c>
      <c r="D71" s="12" t="str">
        <f>IF(58&lt;=$B$5,B71-C71,"")</f>
        <v/>
      </c>
      <c r="E71" s="12" t="str">
        <f>IF(58&lt;=$B$5,E70-D71,"")</f>
        <v/>
      </c>
    </row>
    <row r="72" spans="1:5" x14ac:dyDescent="0.2">
      <c r="A72" s="18" t="str">
        <f>IF(59&lt;=$B$5,59,"")</f>
        <v/>
      </c>
      <c r="B72" s="12" t="str">
        <f>IF(59&lt;=$B$5,$B$7,"")</f>
        <v/>
      </c>
      <c r="C72" s="12" t="str">
        <f>IF(59&lt;=$B$5,E71*$B$4/100,"")</f>
        <v/>
      </c>
      <c r="D72" s="12" t="str">
        <f>IF(59&lt;=$B$5,B72-C72,"")</f>
        <v/>
      </c>
      <c r="E72" s="12" t="str">
        <f>IF(59&lt;=$B$5,E71-D72,"")</f>
        <v/>
      </c>
    </row>
    <row r="73" spans="1:5" x14ac:dyDescent="0.2">
      <c r="A73" s="18" t="str">
        <f>IF(60&lt;=$B$5,60,"")</f>
        <v/>
      </c>
      <c r="B73" s="12" t="str">
        <f>IF(60&lt;=$B$5,$B$7,"")</f>
        <v/>
      </c>
      <c r="C73" s="12" t="str">
        <f>IF(60&lt;=$B$5,E72*$B$4/100,"")</f>
        <v/>
      </c>
      <c r="D73" s="12" t="str">
        <f>IF(60&lt;=$B$5,B73-C73,"")</f>
        <v/>
      </c>
      <c r="E73" s="12" t="str">
        <f>IF(60&lt;=$B$5,E72-D73,"")</f>
        <v/>
      </c>
    </row>
  </sheetData>
  <sheetProtection password="EF83" sheet="1" formatCells="0" formatColumns="0"/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0"/>
  <sheetViews>
    <sheetView zoomScaleNormal="100" workbookViewId="0"/>
  </sheetViews>
  <sheetFormatPr baseColWidth="10" defaultColWidth="8.6640625" defaultRowHeight="15" x14ac:dyDescent="0.2"/>
  <cols>
    <col min="1" max="1" width="44" customWidth="1"/>
    <col min="2" max="7" width="15" customWidth="1"/>
  </cols>
  <sheetData>
    <row r="1" spans="1:2" ht="21" x14ac:dyDescent="0.25">
      <c r="A1" s="1" t="s">
        <v>111</v>
      </c>
    </row>
    <row r="2" spans="1:2" x14ac:dyDescent="0.2">
      <c r="A2" s="5" t="s">
        <v>112</v>
      </c>
    </row>
    <row r="4" spans="1:2" x14ac:dyDescent="0.2">
      <c r="A4" s="16" t="s">
        <v>113</v>
      </c>
      <c r="B4" s="12">
        <f>N('1 PRODUCTOS'!F14)*N('1 PRODUCTOS'!F15)+N('1 PRODUCTOS'!F27)*N('1 PRODUCTOS'!F28)+N('1 PRODUCTOS'!F40)*N('1 PRODUCTOS'!F41)+N('1 PRODUCTOS'!F53)*N('1 PRODUCTOS'!F54)+N('1 PRODUCTOS'!F66)*N('1 PRODUCTOS'!F67)</f>
        <v>8400000</v>
      </c>
    </row>
    <row r="5" spans="1:2" x14ac:dyDescent="0.2">
      <c r="A5" s="16" t="s">
        <v>114</v>
      </c>
      <c r="B5" s="12">
        <f>(N('1 PRODUCTOS'!F14)-N('1 PRODUCTOS'!F13))*N('1 PRODUCTOS'!F15)+(N('1 PRODUCTOS'!F27)-N('1 PRODUCTOS'!F26))*N('1 PRODUCTOS'!F28)+(N('1 PRODUCTOS'!F40)-N('1 PRODUCTOS'!F39))*N('1 PRODUCTOS'!F41)+(N('1 PRODUCTOS'!F53)-N('1 PRODUCTOS'!F52))*N('1 PRODUCTOS'!F54)+(N('1 PRODUCTOS'!F66)-N('1 PRODUCTOS'!F65))*N('1 PRODUCTOS'!F67)</f>
        <v>3360029.9999999995</v>
      </c>
    </row>
    <row r="6" spans="1:2" x14ac:dyDescent="0.2">
      <c r="A6" s="23" t="s">
        <v>115</v>
      </c>
      <c r="B6" s="24">
        <f>IF(B4&gt;0,B5/B4*100,0)</f>
        <v>40.000357142857133</v>
      </c>
    </row>
    <row r="7" spans="1:2" x14ac:dyDescent="0.2">
      <c r="A7" s="16" t="s">
        <v>116</v>
      </c>
      <c r="B7" s="12">
        <f>'2 NOMINA Y GASTOS'!B29</f>
        <v>2740000</v>
      </c>
    </row>
    <row r="8" spans="1:2" x14ac:dyDescent="0.2">
      <c r="A8" s="16" t="s">
        <v>117</v>
      </c>
      <c r="B8" s="12">
        <f>'3 ACTIVOS'!F14</f>
        <v>69166.666666666672</v>
      </c>
    </row>
    <row r="9" spans="1:2" x14ac:dyDescent="0.2">
      <c r="A9" s="16" t="s">
        <v>118</v>
      </c>
      <c r="B9" s="12">
        <f>'4 CREDITO'!B7</f>
        <v>313862.82078238524</v>
      </c>
    </row>
    <row r="10" spans="1:2" x14ac:dyDescent="0.2">
      <c r="A10" s="23" t="s">
        <v>119</v>
      </c>
      <c r="B10" s="13">
        <f>IF(B6&gt;0,B7/(B6/100),0)</f>
        <v>6849938.839831789</v>
      </c>
    </row>
    <row r="11" spans="1:2" x14ac:dyDescent="0.2">
      <c r="A11" s="16" t="s">
        <v>120</v>
      </c>
      <c r="B11" s="12">
        <f>IF(B6&gt;0,(B7+B9)/(B6/100),0)</f>
        <v>7634588.8859837689</v>
      </c>
    </row>
    <row r="12" spans="1:2" x14ac:dyDescent="0.2">
      <c r="A12" s="23" t="s">
        <v>121</v>
      </c>
      <c r="B12" s="13">
        <f>B5-B7-B9</f>
        <v>306167.17921761429</v>
      </c>
    </row>
    <row r="13" spans="1:2" x14ac:dyDescent="0.2">
      <c r="A13" s="16" t="s">
        <v>122</v>
      </c>
      <c r="B13" s="12">
        <f>B5-B7-B8</f>
        <v>550863.33333333291</v>
      </c>
    </row>
    <row r="14" spans="1:2" x14ac:dyDescent="0.2">
      <c r="A14" s="16" t="s">
        <v>123</v>
      </c>
      <c r="B14" s="12">
        <f>'3 ACTIVOS'!D18</f>
        <v>9900000</v>
      </c>
    </row>
    <row r="15" spans="1:2" x14ac:dyDescent="0.2">
      <c r="A15" s="16" t="s">
        <v>124</v>
      </c>
      <c r="B15" s="12">
        <f>MAX(0,B14-'4 CREDITO'!B3)</f>
        <v>1900000</v>
      </c>
    </row>
    <row r="16" spans="1:2" x14ac:dyDescent="0.2">
      <c r="A16" s="16" t="s">
        <v>125</v>
      </c>
      <c r="B16" s="21">
        <f>IF((N('1 PRODUCTOS'!F16)+N('1 PRODUCTOS'!F29)+N('1 PRODUCTOS'!F42)+N('1 PRODUCTOS'!F55)+N('1 PRODUCTOS'!F68))&gt;0,(N('1 PRODUCTOS'!F15)+N('1 PRODUCTOS'!F28)+N('1 PRODUCTOS'!F41)+N('1 PRODUCTOS'!F54)+N('1 PRODUCTOS'!F67))/(N('1 PRODUCTOS'!F16)+N('1 PRODUCTOS'!F29)+N('1 PRODUCTOS'!F42)+N('1 PRODUCTOS'!F55)+N('1 PRODUCTOS'!F68))*100,"")</f>
        <v>50</v>
      </c>
    </row>
    <row r="18" spans="1:6" ht="16" x14ac:dyDescent="0.2">
      <c r="A18" s="3" t="s">
        <v>126</v>
      </c>
    </row>
    <row r="19" spans="1:6" x14ac:dyDescent="0.2">
      <c r="A19" t="s">
        <v>127</v>
      </c>
      <c r="B19" s="25">
        <v>10</v>
      </c>
    </row>
    <row r="20" spans="1:6" x14ac:dyDescent="0.2">
      <c r="A20" t="s">
        <v>128</v>
      </c>
      <c r="B20" s="10">
        <v>6.14</v>
      </c>
    </row>
    <row r="21" spans="1:6" x14ac:dyDescent="0.2">
      <c r="A21" t="s">
        <v>129</v>
      </c>
      <c r="B21" s="25">
        <v>15</v>
      </c>
    </row>
    <row r="23" spans="1:6" ht="16" x14ac:dyDescent="0.2">
      <c r="A23" s="3" t="s">
        <v>130</v>
      </c>
    </row>
    <row r="24" spans="1:6" ht="16" x14ac:dyDescent="0.2">
      <c r="A24" s="9"/>
      <c r="B24" s="9" t="s">
        <v>131</v>
      </c>
      <c r="C24" s="9" t="s">
        <v>132</v>
      </c>
      <c r="D24" s="9" t="s">
        <v>133</v>
      </c>
      <c r="E24" s="9" t="s">
        <v>134</v>
      </c>
      <c r="F24" s="9" t="s">
        <v>135</v>
      </c>
    </row>
    <row r="25" spans="1:6" x14ac:dyDescent="0.2">
      <c r="A25" s="16" t="s">
        <v>136</v>
      </c>
      <c r="B25" s="26">
        <f>IF((N('1 PRODUCTOS'!F16)+N('1 PRODUCTOS'!F29)+N('1 PRODUCTOS'!F42)+N('1 PRODUCTOS'!F55)+N('1 PRODUCTOS'!F68))&gt;0,MIN((N('1 PRODUCTOS'!F15)+N('1 PRODUCTOS'!F28)+N('1 PRODUCTOS'!F41)+N('1 PRODUCTOS'!F54)+N('1 PRODUCTOS'!F67))*(1+$B$19/100)^0,(N('1 PRODUCTOS'!F16)+N('1 PRODUCTOS'!F29)+N('1 PRODUCTOS'!F42)+N('1 PRODUCTOS'!F55)+N('1 PRODUCTOS'!F68))),(N('1 PRODUCTOS'!F15)+N('1 PRODUCTOS'!F28)+N('1 PRODUCTOS'!F41)+N('1 PRODUCTOS'!F54)+N('1 PRODUCTOS'!F67))*(1+$B$19/100)^0)</f>
        <v>300</v>
      </c>
      <c r="C25" s="26">
        <f>IF((N('1 PRODUCTOS'!F16)+N('1 PRODUCTOS'!F29)+N('1 PRODUCTOS'!F42)+N('1 PRODUCTOS'!F55)+N('1 PRODUCTOS'!F68))&gt;0,MIN((N('1 PRODUCTOS'!F15)+N('1 PRODUCTOS'!F28)+N('1 PRODUCTOS'!F41)+N('1 PRODUCTOS'!F54)+N('1 PRODUCTOS'!F67))*(1+$B$19/100)^1,(N('1 PRODUCTOS'!F16)+N('1 PRODUCTOS'!F29)+N('1 PRODUCTOS'!F42)+N('1 PRODUCTOS'!F55)+N('1 PRODUCTOS'!F68))),(N('1 PRODUCTOS'!F15)+N('1 PRODUCTOS'!F28)+N('1 PRODUCTOS'!F41)+N('1 PRODUCTOS'!F54)+N('1 PRODUCTOS'!F67))*(1+$B$19/100)^1)</f>
        <v>330</v>
      </c>
      <c r="D25" s="26">
        <f>IF((N('1 PRODUCTOS'!F16)+N('1 PRODUCTOS'!F29)+N('1 PRODUCTOS'!F42)+N('1 PRODUCTOS'!F55)+N('1 PRODUCTOS'!F68))&gt;0,MIN((N('1 PRODUCTOS'!F15)+N('1 PRODUCTOS'!F28)+N('1 PRODUCTOS'!F41)+N('1 PRODUCTOS'!F54)+N('1 PRODUCTOS'!F67))*(1+$B$19/100)^2,(N('1 PRODUCTOS'!F16)+N('1 PRODUCTOS'!F29)+N('1 PRODUCTOS'!F42)+N('1 PRODUCTOS'!F55)+N('1 PRODUCTOS'!F68))),(N('1 PRODUCTOS'!F15)+N('1 PRODUCTOS'!F28)+N('1 PRODUCTOS'!F41)+N('1 PRODUCTOS'!F54)+N('1 PRODUCTOS'!F67))*(1+$B$19/100)^2)</f>
        <v>363.00000000000006</v>
      </c>
      <c r="E25" s="26">
        <f>IF((N('1 PRODUCTOS'!F16)+N('1 PRODUCTOS'!F29)+N('1 PRODUCTOS'!F42)+N('1 PRODUCTOS'!F55)+N('1 PRODUCTOS'!F68))&gt;0,MIN((N('1 PRODUCTOS'!F15)+N('1 PRODUCTOS'!F28)+N('1 PRODUCTOS'!F41)+N('1 PRODUCTOS'!F54)+N('1 PRODUCTOS'!F67))*(1+$B$19/100)^3,(N('1 PRODUCTOS'!F16)+N('1 PRODUCTOS'!F29)+N('1 PRODUCTOS'!F42)+N('1 PRODUCTOS'!F55)+N('1 PRODUCTOS'!F68))),(N('1 PRODUCTOS'!F15)+N('1 PRODUCTOS'!F28)+N('1 PRODUCTOS'!F41)+N('1 PRODUCTOS'!F54)+N('1 PRODUCTOS'!F67))*(1+$B$19/100)^3)</f>
        <v>399.30000000000013</v>
      </c>
      <c r="F25" s="26">
        <f>IF((N('1 PRODUCTOS'!F16)+N('1 PRODUCTOS'!F29)+N('1 PRODUCTOS'!F42)+N('1 PRODUCTOS'!F55)+N('1 PRODUCTOS'!F68))&gt;0,MIN((N('1 PRODUCTOS'!F15)+N('1 PRODUCTOS'!F28)+N('1 PRODUCTOS'!F41)+N('1 PRODUCTOS'!F54)+N('1 PRODUCTOS'!F67))*(1+$B$19/100)^4,(N('1 PRODUCTOS'!F16)+N('1 PRODUCTOS'!F29)+N('1 PRODUCTOS'!F42)+N('1 PRODUCTOS'!F55)+N('1 PRODUCTOS'!F68))),(N('1 PRODUCTOS'!F15)+N('1 PRODUCTOS'!F28)+N('1 PRODUCTOS'!F41)+N('1 PRODUCTOS'!F54)+N('1 PRODUCTOS'!F67))*(1+$B$19/100)^4)</f>
        <v>439.23000000000013</v>
      </c>
    </row>
    <row r="26" spans="1:6" x14ac:dyDescent="0.2">
      <c r="A26" s="16" t="s">
        <v>137</v>
      </c>
      <c r="B26" s="12">
        <f>IF((N('1 PRODUCTOS'!F15)+N('1 PRODUCTOS'!F28)+N('1 PRODUCTOS'!F41)+N('1 PRODUCTOS'!F54)+N('1 PRODUCTOS'!F67))&gt;0,$B$5*12*B25/(N('1 PRODUCTOS'!F15)+N('1 PRODUCTOS'!F28)+N('1 PRODUCTOS'!F41)+N('1 PRODUCTOS'!F54)+N('1 PRODUCTOS'!F67)),0)</f>
        <v>40320359.999999993</v>
      </c>
      <c r="C26" s="12">
        <f>IF((N('1 PRODUCTOS'!F15)+N('1 PRODUCTOS'!F28)+N('1 PRODUCTOS'!F41)+N('1 PRODUCTOS'!F54)+N('1 PRODUCTOS'!F67))&gt;0,$B$5*12*C25/(N('1 PRODUCTOS'!F15)+N('1 PRODUCTOS'!F28)+N('1 PRODUCTOS'!F41)+N('1 PRODUCTOS'!F54)+N('1 PRODUCTOS'!F67)),0)</f>
        <v>44352395.999999993</v>
      </c>
      <c r="D26" s="12">
        <f>IF((N('1 PRODUCTOS'!F15)+N('1 PRODUCTOS'!F28)+N('1 PRODUCTOS'!F41)+N('1 PRODUCTOS'!F54)+N('1 PRODUCTOS'!F67))&gt;0,$B$5*12*D25/(N('1 PRODUCTOS'!F15)+N('1 PRODUCTOS'!F28)+N('1 PRODUCTOS'!F41)+N('1 PRODUCTOS'!F54)+N('1 PRODUCTOS'!F67)),0)</f>
        <v>48787635.600000001</v>
      </c>
      <c r="E26" s="12">
        <f>IF((N('1 PRODUCTOS'!F15)+N('1 PRODUCTOS'!F28)+N('1 PRODUCTOS'!F41)+N('1 PRODUCTOS'!F54)+N('1 PRODUCTOS'!F67))&gt;0,$B$5*12*E25/(N('1 PRODUCTOS'!F15)+N('1 PRODUCTOS'!F28)+N('1 PRODUCTOS'!F41)+N('1 PRODUCTOS'!F54)+N('1 PRODUCTOS'!F67)),0)</f>
        <v>53666399.160000004</v>
      </c>
      <c r="F26" s="12">
        <f>IF((N('1 PRODUCTOS'!F15)+N('1 PRODUCTOS'!F28)+N('1 PRODUCTOS'!F41)+N('1 PRODUCTOS'!F54)+N('1 PRODUCTOS'!F67))&gt;0,$B$5*12*F25/(N('1 PRODUCTOS'!F15)+N('1 PRODUCTOS'!F28)+N('1 PRODUCTOS'!F41)+N('1 PRODUCTOS'!F54)+N('1 PRODUCTOS'!F67)),0)</f>
        <v>59033039.076000012</v>
      </c>
    </row>
    <row r="27" spans="1:6" x14ac:dyDescent="0.2">
      <c r="A27" s="16" t="s">
        <v>138</v>
      </c>
      <c r="B27" s="12">
        <f>$B$7*12*(1+$B$20/100)^0</f>
        <v>32880000</v>
      </c>
      <c r="C27" s="12">
        <f>$B$7*12*(1+$B$20/100)^1</f>
        <v>34898832</v>
      </c>
      <c r="D27" s="12">
        <f>$B$7*12*(1+$B$20/100)^2</f>
        <v>37041620.284799993</v>
      </c>
      <c r="E27" s="12">
        <f>$B$7*12*(1+$B$20/100)^3</f>
        <v>39315975.770286709</v>
      </c>
      <c r="F27" s="12">
        <f>$B$7*12*(1+$B$20/100)^4</f>
        <v>41729976.682582311</v>
      </c>
    </row>
    <row r="28" spans="1:6" x14ac:dyDescent="0.2">
      <c r="A28" s="16" t="s">
        <v>139</v>
      </c>
      <c r="B28" s="27">
        <f>B26-B27</f>
        <v>7440359.9999999925</v>
      </c>
      <c r="C28" s="27">
        <f>C26-C27</f>
        <v>9453563.9999999925</v>
      </c>
      <c r="D28" s="27">
        <f>D26-D27</f>
        <v>11746015.315200008</v>
      </c>
      <c r="E28" s="27">
        <f>E26-E27</f>
        <v>14350423.389713295</v>
      </c>
      <c r="F28" s="27">
        <f>F26-F27</f>
        <v>17303062.393417701</v>
      </c>
    </row>
    <row r="29" spans="1:6" x14ac:dyDescent="0.2">
      <c r="A29" s="16" t="s">
        <v>140</v>
      </c>
      <c r="B29" s="12">
        <f>$B$9*MIN(12,MAX(0,'4 CREDITO'!$B$5-0))</f>
        <v>3766353.8493886227</v>
      </c>
      <c r="C29" s="12">
        <f>$B$9*MIN(12,MAX(0,'4 CREDITO'!$B$5-12))</f>
        <v>3766353.8493886227</v>
      </c>
      <c r="D29" s="12">
        <f>$B$9*MIN(12,MAX(0,'4 CREDITO'!$B$5-24))</f>
        <v>3766353.8493886227</v>
      </c>
      <c r="E29" s="12">
        <f>$B$9*MIN(12,MAX(0,'4 CREDITO'!$B$5-36))</f>
        <v>0</v>
      </c>
      <c r="F29" s="12">
        <f>$B$9*MIN(12,MAX(0,'4 CREDITO'!$B$5-48))</f>
        <v>0</v>
      </c>
    </row>
    <row r="30" spans="1:6" x14ac:dyDescent="0.2">
      <c r="A30" s="16" t="s">
        <v>141</v>
      </c>
      <c r="B30" s="27">
        <f>B28-B29</f>
        <v>3674006.1506113699</v>
      </c>
      <c r="C30" s="27">
        <f>C28-C29</f>
        <v>5687210.1506113699</v>
      </c>
      <c r="D30" s="27">
        <f>D28-D29</f>
        <v>7979661.4658113858</v>
      </c>
      <c r="E30" s="27">
        <f>E28-E29</f>
        <v>14350423.389713295</v>
      </c>
      <c r="F30" s="27">
        <f>F28-F29</f>
        <v>17303062.393417701</v>
      </c>
    </row>
    <row r="31" spans="1:6" x14ac:dyDescent="0.2">
      <c r="A31" s="16" t="s">
        <v>142</v>
      </c>
      <c r="B31" s="12">
        <f>-$B$14+B28</f>
        <v>-2459640.0000000075</v>
      </c>
      <c r="C31" s="12">
        <f>B31+C28</f>
        <v>6993923.9999999851</v>
      </c>
      <c r="D31" s="12">
        <f>C31+D28</f>
        <v>18739939.315199994</v>
      </c>
      <c r="E31" s="12">
        <f>D31+E28</f>
        <v>33090362.704913288</v>
      </c>
      <c r="F31" s="12">
        <f>E31+F28</f>
        <v>50393425.098330989</v>
      </c>
    </row>
    <row r="33" spans="1:7" ht="16" x14ac:dyDescent="0.2">
      <c r="A33" s="3" t="s">
        <v>143</v>
      </c>
    </row>
    <row r="34" spans="1:7" x14ac:dyDescent="0.2">
      <c r="A34" s="5" t="s">
        <v>144</v>
      </c>
      <c r="B34" s="12">
        <f>-B14</f>
        <v>-9900000</v>
      </c>
      <c r="C34" s="12">
        <f>B28</f>
        <v>7440359.9999999925</v>
      </c>
      <c r="D34" s="12">
        <f>C28</f>
        <v>9453563.9999999925</v>
      </c>
      <c r="E34" s="12">
        <f>D28</f>
        <v>11746015.315200008</v>
      </c>
      <c r="F34" s="12">
        <f>E28</f>
        <v>14350423.389713295</v>
      </c>
      <c r="G34" s="12">
        <f>F28</f>
        <v>17303062.393417701</v>
      </c>
    </row>
    <row r="35" spans="1:7" x14ac:dyDescent="0.2">
      <c r="A35" s="23" t="s">
        <v>145</v>
      </c>
      <c r="B35" s="13">
        <f>IF(B14&gt;0,NPV(B21/100,B28:F28)-B14,"")</f>
        <v>28248907.769117951</v>
      </c>
    </row>
    <row r="36" spans="1:7" x14ac:dyDescent="0.2">
      <c r="A36" s="23" t="s">
        <v>146</v>
      </c>
      <c r="B36" s="24">
        <f>IFERROR(IRR(B34:G34)*100,"no aplica")</f>
        <v>91.276655382896934</v>
      </c>
    </row>
    <row r="37" spans="1:7" x14ac:dyDescent="0.2">
      <c r="A37" s="23" t="s">
        <v>147</v>
      </c>
      <c r="B37" s="28">
        <f>IF(B14=0,"",IF(B31&gt;=0,ROUND(B14/(B28/12),0),IF(C31&gt;=0,12+ROUND(-B31/(C28/12),0),IF(D31&gt;=0,24+ROUND(-C31/(D28/12),0),IF(E31&gt;=0,36+ROUND(-D31/(E28/12),0),IF(F31&gt;=0,48+ROUND(-E31/(F28/12),0),"más de 60"))))))</f>
        <v>15</v>
      </c>
    </row>
    <row r="39" spans="1:7" x14ac:dyDescent="0.2">
      <c r="A39" s="16" t="s">
        <v>148</v>
      </c>
      <c r="B39" s="12">
        <f>B5*0.8-B7-B9</f>
        <v>-365838.82078238524</v>
      </c>
    </row>
    <row r="40" spans="1:7" x14ac:dyDescent="0.2">
      <c r="A40" s="16" t="s">
        <v>149</v>
      </c>
      <c r="B40" s="12">
        <f>B5*1.2-B7-B9</f>
        <v>978173.17921761377</v>
      </c>
    </row>
  </sheetData>
  <sheetProtection password="EF83" sheet="1" formatCells="0" formatColumns="0"/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9"/>
  <sheetViews>
    <sheetView tabSelected="1" zoomScaleNormal="100" workbookViewId="0"/>
  </sheetViews>
  <sheetFormatPr baseColWidth="10" defaultColWidth="8.6640625" defaultRowHeight="15" x14ac:dyDescent="0.2"/>
  <cols>
    <col min="1" max="1" width="8" customWidth="1"/>
    <col min="2" max="2" width="30" customWidth="1"/>
    <col min="3" max="3" width="14" customWidth="1"/>
    <col min="4" max="4" width="30" customWidth="1"/>
    <col min="5" max="6" width="14" customWidth="1"/>
  </cols>
  <sheetData>
    <row r="1" spans="1:6" ht="21" x14ac:dyDescent="0.25">
      <c r="A1" s="1" t="s">
        <v>150</v>
      </c>
    </row>
    <row r="2" spans="1:6" x14ac:dyDescent="0.2">
      <c r="A2" s="5" t="s">
        <v>151</v>
      </c>
    </row>
    <row r="4" spans="1:6" ht="16" x14ac:dyDescent="0.2">
      <c r="A4" s="9" t="s">
        <v>152</v>
      </c>
      <c r="B4" s="9" t="s">
        <v>153</v>
      </c>
      <c r="C4" s="9" t="s">
        <v>154</v>
      </c>
      <c r="D4" s="9" t="s">
        <v>155</v>
      </c>
      <c r="E4" s="9" t="s">
        <v>156</v>
      </c>
      <c r="F4" s="9" t="s">
        <v>110</v>
      </c>
    </row>
    <row r="5" spans="1:6" x14ac:dyDescent="0.2">
      <c r="A5" s="18">
        <v>1</v>
      </c>
      <c r="B5" s="8"/>
      <c r="C5" s="11"/>
      <c r="D5" s="8"/>
      <c r="E5" s="11"/>
      <c r="F5" s="12">
        <f>N(C5)-N(E5)</f>
        <v>0</v>
      </c>
    </row>
    <row r="6" spans="1:6" x14ac:dyDescent="0.2">
      <c r="A6" s="18">
        <v>2</v>
      </c>
      <c r="B6" s="8"/>
      <c r="C6" s="11"/>
      <c r="D6" s="8"/>
      <c r="E6" s="11"/>
      <c r="F6" s="12">
        <f t="shared" ref="F6:F35" si="0">F5+N(C6)-N(E6)</f>
        <v>0</v>
      </c>
    </row>
    <row r="7" spans="1:6" x14ac:dyDescent="0.2">
      <c r="A7" s="18">
        <v>3</v>
      </c>
      <c r="B7" s="8"/>
      <c r="C7" s="11"/>
      <c r="D7" s="8"/>
      <c r="E7" s="11"/>
      <c r="F7" s="12">
        <f t="shared" si="0"/>
        <v>0</v>
      </c>
    </row>
    <row r="8" spans="1:6" x14ac:dyDescent="0.2">
      <c r="A8" s="18">
        <v>4</v>
      </c>
      <c r="B8" s="8"/>
      <c r="C8" s="11"/>
      <c r="D8" s="8"/>
      <c r="E8" s="11"/>
      <c r="F8" s="12">
        <f t="shared" si="0"/>
        <v>0</v>
      </c>
    </row>
    <row r="9" spans="1:6" x14ac:dyDescent="0.2">
      <c r="A9" s="18">
        <v>5</v>
      </c>
      <c r="B9" s="8"/>
      <c r="C9" s="11"/>
      <c r="D9" s="8"/>
      <c r="E9" s="11"/>
      <c r="F9" s="12">
        <f t="shared" si="0"/>
        <v>0</v>
      </c>
    </row>
    <row r="10" spans="1:6" x14ac:dyDescent="0.2">
      <c r="A10" s="18">
        <v>6</v>
      </c>
      <c r="B10" s="8"/>
      <c r="C10" s="11"/>
      <c r="D10" s="8"/>
      <c r="E10" s="11"/>
      <c r="F10" s="12">
        <f t="shared" si="0"/>
        <v>0</v>
      </c>
    </row>
    <row r="11" spans="1:6" x14ac:dyDescent="0.2">
      <c r="A11" s="18">
        <v>7</v>
      </c>
      <c r="B11" s="8"/>
      <c r="C11" s="11"/>
      <c r="D11" s="8"/>
      <c r="E11" s="11"/>
      <c r="F11" s="12">
        <f t="shared" si="0"/>
        <v>0</v>
      </c>
    </row>
    <row r="12" spans="1:6" x14ac:dyDescent="0.2">
      <c r="A12" s="18">
        <v>8</v>
      </c>
      <c r="B12" s="8"/>
      <c r="C12" s="11"/>
      <c r="D12" s="8"/>
      <c r="E12" s="11"/>
      <c r="F12" s="12">
        <f t="shared" si="0"/>
        <v>0</v>
      </c>
    </row>
    <row r="13" spans="1:6" x14ac:dyDescent="0.2">
      <c r="A13" s="18">
        <v>9</v>
      </c>
      <c r="B13" s="8"/>
      <c r="C13" s="11"/>
      <c r="D13" s="8"/>
      <c r="E13" s="11"/>
      <c r="F13" s="12">
        <f t="shared" si="0"/>
        <v>0</v>
      </c>
    </row>
    <row r="14" spans="1:6" x14ac:dyDescent="0.2">
      <c r="A14" s="18">
        <v>10</v>
      </c>
      <c r="B14" s="8"/>
      <c r="C14" s="11"/>
      <c r="D14" s="8"/>
      <c r="E14" s="11"/>
      <c r="F14" s="12">
        <f t="shared" si="0"/>
        <v>0</v>
      </c>
    </row>
    <row r="15" spans="1:6" x14ac:dyDescent="0.2">
      <c r="A15" s="18">
        <v>11</v>
      </c>
      <c r="B15" s="8"/>
      <c r="C15" s="11"/>
      <c r="D15" s="8"/>
      <c r="E15" s="11"/>
      <c r="F15" s="12">
        <f t="shared" si="0"/>
        <v>0</v>
      </c>
    </row>
    <row r="16" spans="1:6" x14ac:dyDescent="0.2">
      <c r="A16" s="18">
        <v>12</v>
      </c>
      <c r="B16" s="8"/>
      <c r="C16" s="11"/>
      <c r="D16" s="8"/>
      <c r="E16" s="11"/>
      <c r="F16" s="12">
        <f t="shared" si="0"/>
        <v>0</v>
      </c>
    </row>
    <row r="17" spans="1:6" x14ac:dyDescent="0.2">
      <c r="A17" s="18">
        <v>13</v>
      </c>
      <c r="B17" s="8"/>
      <c r="C17" s="11"/>
      <c r="D17" s="8"/>
      <c r="E17" s="11"/>
      <c r="F17" s="12">
        <f t="shared" si="0"/>
        <v>0</v>
      </c>
    </row>
    <row r="18" spans="1:6" x14ac:dyDescent="0.2">
      <c r="A18" s="18">
        <v>14</v>
      </c>
      <c r="B18" s="8"/>
      <c r="C18" s="11"/>
      <c r="D18" s="8"/>
      <c r="E18" s="11"/>
      <c r="F18" s="12">
        <f t="shared" si="0"/>
        <v>0</v>
      </c>
    </row>
    <row r="19" spans="1:6" x14ac:dyDescent="0.2">
      <c r="A19" s="18">
        <v>15</v>
      </c>
      <c r="B19" s="8"/>
      <c r="C19" s="11"/>
      <c r="D19" s="8"/>
      <c r="E19" s="11"/>
      <c r="F19" s="12">
        <f t="shared" si="0"/>
        <v>0</v>
      </c>
    </row>
    <row r="20" spans="1:6" x14ac:dyDescent="0.2">
      <c r="A20" s="18">
        <v>16</v>
      </c>
      <c r="B20" s="8"/>
      <c r="C20" s="11"/>
      <c r="D20" s="8"/>
      <c r="E20" s="11"/>
      <c r="F20" s="12">
        <f t="shared" si="0"/>
        <v>0</v>
      </c>
    </row>
    <row r="21" spans="1:6" x14ac:dyDescent="0.2">
      <c r="A21" s="18">
        <v>17</v>
      </c>
      <c r="B21" s="8"/>
      <c r="C21" s="11"/>
      <c r="D21" s="8"/>
      <c r="E21" s="11"/>
      <c r="F21" s="12">
        <f t="shared" si="0"/>
        <v>0</v>
      </c>
    </row>
    <row r="22" spans="1:6" x14ac:dyDescent="0.2">
      <c r="A22" s="18">
        <v>18</v>
      </c>
      <c r="B22" s="8"/>
      <c r="C22" s="11"/>
      <c r="D22" s="8"/>
      <c r="E22" s="11"/>
      <c r="F22" s="12">
        <f t="shared" si="0"/>
        <v>0</v>
      </c>
    </row>
    <row r="23" spans="1:6" x14ac:dyDescent="0.2">
      <c r="A23" s="18">
        <v>19</v>
      </c>
      <c r="B23" s="8"/>
      <c r="C23" s="11"/>
      <c r="D23" s="8"/>
      <c r="E23" s="11"/>
      <c r="F23" s="12">
        <f t="shared" si="0"/>
        <v>0</v>
      </c>
    </row>
    <row r="24" spans="1:6" x14ac:dyDescent="0.2">
      <c r="A24" s="18">
        <v>20</v>
      </c>
      <c r="B24" s="8"/>
      <c r="C24" s="11"/>
      <c r="D24" s="8"/>
      <c r="E24" s="11"/>
      <c r="F24" s="12">
        <f t="shared" si="0"/>
        <v>0</v>
      </c>
    </row>
    <row r="25" spans="1:6" x14ac:dyDescent="0.2">
      <c r="A25" s="18">
        <v>21</v>
      </c>
      <c r="B25" s="8"/>
      <c r="C25" s="11"/>
      <c r="D25" s="8"/>
      <c r="E25" s="11"/>
      <c r="F25" s="12">
        <f t="shared" si="0"/>
        <v>0</v>
      </c>
    </row>
    <row r="26" spans="1:6" x14ac:dyDescent="0.2">
      <c r="A26" s="18">
        <v>22</v>
      </c>
      <c r="B26" s="8"/>
      <c r="C26" s="11"/>
      <c r="D26" s="8"/>
      <c r="E26" s="11"/>
      <c r="F26" s="12">
        <f t="shared" si="0"/>
        <v>0</v>
      </c>
    </row>
    <row r="27" spans="1:6" x14ac:dyDescent="0.2">
      <c r="A27" s="18">
        <v>23</v>
      </c>
      <c r="B27" s="8"/>
      <c r="C27" s="11"/>
      <c r="D27" s="8"/>
      <c r="E27" s="11"/>
      <c r="F27" s="12">
        <f t="shared" si="0"/>
        <v>0</v>
      </c>
    </row>
    <row r="28" spans="1:6" x14ac:dyDescent="0.2">
      <c r="A28" s="18">
        <v>24</v>
      </c>
      <c r="B28" s="8"/>
      <c r="C28" s="11"/>
      <c r="D28" s="8"/>
      <c r="E28" s="11"/>
      <c r="F28" s="12">
        <f t="shared" si="0"/>
        <v>0</v>
      </c>
    </row>
    <row r="29" spans="1:6" x14ac:dyDescent="0.2">
      <c r="A29" s="18">
        <v>25</v>
      </c>
      <c r="B29" s="8"/>
      <c r="C29" s="11"/>
      <c r="D29" s="8"/>
      <c r="E29" s="11"/>
      <c r="F29" s="12">
        <f t="shared" si="0"/>
        <v>0</v>
      </c>
    </row>
    <row r="30" spans="1:6" x14ac:dyDescent="0.2">
      <c r="A30" s="18">
        <v>26</v>
      </c>
      <c r="B30" s="8"/>
      <c r="C30" s="11"/>
      <c r="D30" s="8"/>
      <c r="E30" s="11"/>
      <c r="F30" s="12">
        <f t="shared" si="0"/>
        <v>0</v>
      </c>
    </row>
    <row r="31" spans="1:6" x14ac:dyDescent="0.2">
      <c r="A31" s="18">
        <v>27</v>
      </c>
      <c r="B31" s="8"/>
      <c r="C31" s="11"/>
      <c r="D31" s="8"/>
      <c r="E31" s="11"/>
      <c r="F31" s="12">
        <f t="shared" si="0"/>
        <v>0</v>
      </c>
    </row>
    <row r="32" spans="1:6" x14ac:dyDescent="0.2">
      <c r="A32" s="18">
        <v>28</v>
      </c>
      <c r="B32" s="8"/>
      <c r="C32" s="11"/>
      <c r="D32" s="8"/>
      <c r="E32" s="11"/>
      <c r="F32" s="12">
        <f t="shared" si="0"/>
        <v>0</v>
      </c>
    </row>
    <row r="33" spans="1:6" x14ac:dyDescent="0.2">
      <c r="A33" s="18">
        <v>29</v>
      </c>
      <c r="B33" s="8"/>
      <c r="C33" s="11"/>
      <c r="D33" s="8"/>
      <c r="E33" s="11"/>
      <c r="F33" s="12">
        <f t="shared" si="0"/>
        <v>0</v>
      </c>
    </row>
    <row r="34" spans="1:6" x14ac:dyDescent="0.2">
      <c r="A34" s="18">
        <v>30</v>
      </c>
      <c r="B34" s="8"/>
      <c r="C34" s="11"/>
      <c r="D34" s="8"/>
      <c r="E34" s="11"/>
      <c r="F34" s="12">
        <f t="shared" si="0"/>
        <v>0</v>
      </c>
    </row>
    <row r="35" spans="1:6" x14ac:dyDescent="0.2">
      <c r="A35" s="18">
        <v>31</v>
      </c>
      <c r="B35" s="8"/>
      <c r="C35" s="11"/>
      <c r="D35" s="8"/>
      <c r="E35" s="11"/>
      <c r="F35" s="12">
        <f t="shared" si="0"/>
        <v>0</v>
      </c>
    </row>
    <row r="36" spans="1:6" x14ac:dyDescent="0.2">
      <c r="B36" s="6" t="s">
        <v>157</v>
      </c>
      <c r="C36" s="13">
        <f>SUM(C5:C35)</f>
        <v>0</v>
      </c>
      <c r="E36" s="13">
        <f>SUM(E5:E35)</f>
        <v>0</v>
      </c>
      <c r="F36" s="13">
        <f>C36-E36</f>
        <v>0</v>
      </c>
    </row>
    <row r="38" spans="1:6" x14ac:dyDescent="0.2">
      <c r="A38" s="19" t="s">
        <v>158</v>
      </c>
    </row>
    <row r="39" spans="1:6" x14ac:dyDescent="0.2">
      <c r="A39" s="19" t="s">
        <v>159</v>
      </c>
    </row>
  </sheetData>
  <sheetProtection password="EF83" sheet="1" formatCells="0" formatColumns="0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LEE PRIMERO</vt:lpstr>
      <vt:lpstr>1 PRODUCTOS</vt:lpstr>
      <vt:lpstr>2 NOMINA Y GASTOS</vt:lpstr>
      <vt:lpstr>3 ACTIVOS</vt:lpstr>
      <vt:lpstr>4 CREDITO</vt:lpstr>
      <vt:lpstr>5 RESULTADOS</vt:lpstr>
      <vt:lpstr>6 REGISTRO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Jorge Caicedo Pastrana</cp:lastModifiedBy>
  <cp:revision>0</cp:revision>
  <dcterms:created xsi:type="dcterms:W3CDTF">2026-08-02T22:17:46Z</dcterms:created>
  <dcterms:modified xsi:type="dcterms:W3CDTF">2026-08-02T22:36:15Z</dcterms:modified>
  <dc:language>en-US</dc:language>
</cp:coreProperties>
</file>